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5" windowWidth="13245" windowHeight="6195" firstSheet="1" activeTab="12"/>
  </bookViews>
  <sheets>
    <sheet name="01.02.2012" sheetId="1" r:id="rId1"/>
    <sheet name="01.02(тимчас.)" sheetId="2" r:id="rId2"/>
    <sheet name="01.03" sheetId="3" r:id="rId3"/>
    <sheet name="за 1 кв" sheetId="4" r:id="rId4"/>
    <sheet name="01.05" sheetId="5" r:id="rId5"/>
    <sheet name="01.06" sheetId="6" r:id="rId6"/>
    <sheet name="01.07" sheetId="7" r:id="rId7"/>
    <sheet name="01.08" sheetId="8" r:id="rId8"/>
    <sheet name="01.09" sheetId="9" r:id="rId9"/>
    <sheet name="01.10" sheetId="10" r:id="rId10"/>
    <sheet name="01.11" sheetId="11" r:id="rId11"/>
    <sheet name="01.12" sheetId="12" r:id="rId12"/>
    <sheet name="01.01.2013" sheetId="13" r:id="rId13"/>
  </sheets>
  <externalReferences>
    <externalReference r:id="rId16"/>
  </externalReferences>
  <definedNames>
    <definedName name="_xlnm.Print_Area" localSheetId="12">'01.01.2013'!$A$1:$N$63</definedName>
  </definedNames>
  <calcPr fullCalcOnLoad="1"/>
</workbook>
</file>

<file path=xl/sharedStrings.xml><?xml version="1.0" encoding="utf-8"?>
<sst xmlns="http://schemas.openxmlformats.org/spreadsheetml/2006/main" count="961" uniqueCount="234">
  <si>
    <t xml:space="preserve">Відсоток виконання </t>
  </si>
  <si>
    <t xml:space="preserve">Відхилення </t>
  </si>
  <si>
    <t xml:space="preserve">Фактично виконано </t>
  </si>
  <si>
    <t>Затверджено</t>
  </si>
  <si>
    <t>до виконання звітного періода 2011 року</t>
  </si>
  <si>
    <t>КБКД</t>
  </si>
  <si>
    <t>із них на:</t>
  </si>
  <si>
    <t>Назва доходного джерела</t>
  </si>
  <si>
    <t xml:space="preserve"> звітний місяць (березень)</t>
  </si>
  <si>
    <t>за звітний місяць (березень)</t>
  </si>
  <si>
    <t>Реєстраційний збір за проведення державної реєстріції юридичних осіб та фізичних осіб - підприємців</t>
  </si>
  <si>
    <t>Державне мито</t>
  </si>
  <si>
    <t>Разом доходів, що враховуються при визначенні міжбюджетних трасфертів</t>
  </si>
  <si>
    <r>
      <t xml:space="preserve">Податок на доходи фізичних осіб </t>
    </r>
    <r>
      <rPr>
        <i/>
        <sz val="10"/>
        <rFont val="Times New Roman"/>
        <family val="1"/>
      </rPr>
      <t>(без врахування фіксованого податку на доходи фізичних осіб від зайняття підприємницькою діяльністю)</t>
    </r>
  </si>
  <si>
    <t>Фіксований податок на доходи фізичних осіб від зайняття підприємницькою діяльністю</t>
  </si>
  <si>
    <t>11020200</t>
  </si>
  <si>
    <t>Податок на прибуток підприємств та фінансових установ комунальної власності</t>
  </si>
  <si>
    <t>Плата за землю</t>
  </si>
  <si>
    <t>Місцеві податки і збори, що нараховані до 1 січня 2011 року</t>
  </si>
  <si>
    <t xml:space="preserve">  - збір за паркування автотранспорту</t>
  </si>
  <si>
    <t xml:space="preserve">  - туристичний збір</t>
  </si>
  <si>
    <t xml:space="preserve">  - збір за провадження деяких видів підприємницької діяльності</t>
  </si>
  <si>
    <t>22080400</t>
  </si>
  <si>
    <t>Надходження від орендної плати за користування ЦМК та іншим майном, що перебуває в комунальній власності</t>
  </si>
  <si>
    <t>21081100</t>
  </si>
  <si>
    <t>Адміністративні штрафи та інші санкції</t>
  </si>
  <si>
    <t>21080900</t>
  </si>
  <si>
    <t>Штрафні санкції за порушення законодавства про патентування, за порушення норм регулювання обігу готівки…</t>
  </si>
  <si>
    <t>Інші надходження</t>
  </si>
  <si>
    <t>Надходження коштів з рахунків виборчих фондів</t>
  </si>
  <si>
    <t xml:space="preserve">Кошти від реалізації безхозяйного  майна, знахідок , спадкового майна, майна, одержаного територільною громадою в порядку спадкуавння чи дарування  </t>
  </si>
  <si>
    <t>Разом доходів, що не враховуються при визначенні міжбюджетних трасфертів</t>
  </si>
  <si>
    <t>Офіційні трансферти  - всього,                  в тому числі:</t>
  </si>
  <si>
    <t xml:space="preserve"> - дотації</t>
  </si>
  <si>
    <t xml:space="preserve"> - субвенції</t>
  </si>
  <si>
    <t xml:space="preserve">Всього доходи загального фонду </t>
  </si>
  <si>
    <t xml:space="preserve">ЗАГАЛЬНИЙ ФОНД </t>
  </si>
  <si>
    <t>СПЕЦІАЛЬНИЙ ФОНД</t>
  </si>
  <si>
    <t>Податок з власників транспортних засобів та інших машин і механізмів</t>
  </si>
  <si>
    <t>Збір за першу реєстрацію транспортних засобів</t>
  </si>
  <si>
    <t>Збір за провадження торговельної діяльності нафтопродукрами, скропленим та стиснутим газом на стаціонарних, малогабарітних і пересувних автозаправних станціях, заправних пунктах</t>
  </si>
  <si>
    <t>Фіксований сільськогосподарський податок</t>
  </si>
  <si>
    <t>Екологічний податок</t>
  </si>
  <si>
    <t>Збір за забруднення навколишнього природнього середовища</t>
  </si>
  <si>
    <t>Єдиний податок</t>
  </si>
  <si>
    <t>Кошти від відчуження майна,що належать АРК та майна, що перебуває в комунальній власності</t>
  </si>
  <si>
    <t>Кошти від продажу землі</t>
  </si>
  <si>
    <t xml:space="preserve">Цільвий фонд </t>
  </si>
  <si>
    <t xml:space="preserve">Всього доходи спеціального фонду </t>
  </si>
  <si>
    <t xml:space="preserve"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</t>
  </si>
  <si>
    <t>Доходи загального фонду разом з офіційними трансфертами</t>
  </si>
  <si>
    <t>Власні надходження бюджетних установ</t>
  </si>
  <si>
    <t>Доходи спеціального фонду разом з офіційними трансфертами</t>
  </si>
  <si>
    <t xml:space="preserve">ДОХОДИ МІСЬКОГО БЮДЖЕТУ </t>
  </si>
  <si>
    <t>Додаток 1</t>
  </si>
  <si>
    <t>21080500, 24060300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</si>
  <si>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</si>
  <si>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 xml:space="preserve"> звітний місяць (квітень)</t>
  </si>
  <si>
    <t>Податок з власників водних транспортних засобів</t>
  </si>
  <si>
    <t>тис.грн.</t>
  </si>
  <si>
    <t>Плата за землю  (100%)</t>
  </si>
  <si>
    <t>КФК</t>
  </si>
  <si>
    <t>Доходи</t>
  </si>
  <si>
    <t>Фактичне виконання у 2007 році</t>
  </si>
  <si>
    <t>Затверджено на  2009 р.</t>
  </si>
  <si>
    <t>Сума, тис.грн.</t>
  </si>
  <si>
    <t>Питома вага в загальній сумі видатків, %</t>
  </si>
  <si>
    <t>до плану на звітний період 2009 року</t>
  </si>
  <si>
    <t>до виконання звітного періода 2008 року</t>
  </si>
  <si>
    <r>
      <t xml:space="preserve">Разом доходи І кошику,                                                   </t>
    </r>
    <r>
      <rPr>
        <sz val="12"/>
        <rFont val="Times New Roman"/>
        <family val="1"/>
      </rPr>
      <t>в тому числі:</t>
    </r>
  </si>
  <si>
    <t>єдиний податок</t>
  </si>
  <si>
    <t>220900</t>
  </si>
  <si>
    <t>державне мито</t>
  </si>
  <si>
    <r>
      <t xml:space="preserve">Разом доходи ІІ кошику,                                  </t>
    </r>
    <r>
      <rPr>
        <sz val="12"/>
        <rFont val="Times New Roman"/>
        <family val="1"/>
      </rPr>
      <t>в тому числі:</t>
    </r>
  </si>
  <si>
    <t>110202</t>
  </si>
  <si>
    <t>130500</t>
  </si>
  <si>
    <t>плата за землю</t>
  </si>
  <si>
    <t>160100</t>
  </si>
  <si>
    <t>220804</t>
  </si>
  <si>
    <t>240603   210805  240606</t>
  </si>
  <si>
    <t>інші надходження</t>
  </si>
  <si>
    <t>210811</t>
  </si>
  <si>
    <t>Всього доходів загального фонду</t>
  </si>
  <si>
    <t xml:space="preserve">Офіційні трансферти (субвенції загального фонду, дотація) </t>
  </si>
  <si>
    <t>І. Доход загального фонду разом з офіційними трансфертами</t>
  </si>
  <si>
    <t xml:space="preserve"> Разом доходи спец. фонду, в тому числі:</t>
  </si>
  <si>
    <t>власні надходження бюджетних установ</t>
  </si>
  <si>
    <t>збір за забруднення навколишнього природнього середовища</t>
  </si>
  <si>
    <t>цільові фонди</t>
  </si>
  <si>
    <t xml:space="preserve">Субвенції спеціального  фонду </t>
  </si>
  <si>
    <t>Кошти, одержані із загального фонду до бюджету розвитку</t>
  </si>
  <si>
    <t>II.  Доходи спеціального фонду разом з офіційними трансфертами</t>
  </si>
  <si>
    <t>Заступник міського голови- начальник фінансового управління</t>
  </si>
  <si>
    <t>С.В.Качко</t>
  </si>
  <si>
    <t>220103</t>
  </si>
  <si>
    <t>реєстраційний збір за проведення державної реєстріції юридичних осіб та фізичних осіб - підприємців</t>
  </si>
  <si>
    <t>податок на прибуток підприємств та установ комунальної власності</t>
  </si>
  <si>
    <t>180400</t>
  </si>
  <si>
    <t>збір за провадження деяких видів підприємницьной діяльності</t>
  </si>
  <si>
    <t>надходження від орендної плати за користування ЦМК та іншим державним майном</t>
  </si>
  <si>
    <t>180500</t>
  </si>
  <si>
    <t>збір за провадження торговельної діяльності нафтопродукрами, скропленим та стиснутим газом на стаціонарних, малогабарітних і пересувних автозаправних станціях, заправних пунктах</t>
  </si>
  <si>
    <t>екологічний податок</t>
  </si>
  <si>
    <t>на рік</t>
  </si>
  <si>
    <t>лютий</t>
  </si>
  <si>
    <t>податок на доходи фізичних осіб</t>
  </si>
  <si>
    <t>110104, 110116</t>
  </si>
  <si>
    <t>фіксований податок на доходи фізичних осіб від зайняття підприємницької діяльності</t>
  </si>
  <si>
    <t>адміністративні штрафи та інші санкції</t>
  </si>
  <si>
    <t>210809</t>
  </si>
  <si>
    <t>штрафні санкції за порушення законодавства про патентування</t>
  </si>
  <si>
    <t>місцеві податки і збори, що нараховані до 1.01.2011 року</t>
  </si>
  <si>
    <t>120200/120300</t>
  </si>
  <si>
    <t>податок з власників транспортних засобів та інших самохідних машин і механізмів/збір за першу реєстрацію траспортних засобів</t>
  </si>
  <si>
    <t>кошти від відчуження майна,що належать АРК та майна, що перебуває в комунальній власності</t>
  </si>
  <si>
    <t>Виконання бюджету м.Южноукраїнська по доходам за січень 2012 року</t>
  </si>
  <si>
    <t>Фактично виконано за січень 2012 року</t>
  </si>
  <si>
    <t>до плану на звітний період 2012 року</t>
  </si>
  <si>
    <t>22080401</t>
  </si>
  <si>
    <t>11010000</t>
  </si>
  <si>
    <t>22010300</t>
  </si>
  <si>
    <t>22090000</t>
  </si>
  <si>
    <t>11020201</t>
  </si>
  <si>
    <t>13050000</t>
  </si>
  <si>
    <t>18000000</t>
  </si>
  <si>
    <t>18050000</t>
  </si>
  <si>
    <t>50110000</t>
  </si>
  <si>
    <t>19010000</t>
  </si>
  <si>
    <r>
      <t xml:space="preserve">Податок на доходи фізичних осіб </t>
    </r>
    <r>
      <rPr>
        <i/>
        <sz val="11"/>
        <rFont val="Times New Roman"/>
        <family val="1"/>
      </rPr>
      <t>(без врахування фіксованого податку на доходи фізичних осіб від зайняття підприємницькою діяльністю)</t>
    </r>
  </si>
  <si>
    <t>Місцеві податки і збори</t>
  </si>
  <si>
    <t>Фіксований податок на доходи фізичних осіб від зайняття підприємницької діяльності, нараховано до 1.01.2011 року</t>
  </si>
  <si>
    <r>
      <t xml:space="preserve">Разом доходи ІІ кошику,                                                                                         </t>
    </r>
    <r>
      <rPr>
        <sz val="12"/>
        <rFont val="Times New Roman"/>
        <family val="1"/>
      </rPr>
      <t>в тому числі:</t>
    </r>
  </si>
  <si>
    <t>Відсоток виконання (%)</t>
  </si>
  <si>
    <t>Відхилення (+,-)</t>
  </si>
  <si>
    <t>21080500                              24060300                               24060600</t>
  </si>
  <si>
    <t>Цільовий фонд</t>
  </si>
  <si>
    <t>41034401                                                                   41035101</t>
  </si>
  <si>
    <t>І. Доходи загального фонду разом з офіційними трансфертами</t>
  </si>
  <si>
    <t>11010600                                          (11010400, 11011600)</t>
  </si>
  <si>
    <t>16010000</t>
  </si>
  <si>
    <t>21081300</t>
  </si>
  <si>
    <t>Адміністративні штрафи у сфері безпеки дорожнього руху</t>
  </si>
  <si>
    <t xml:space="preserve">Затверджено                                         на січень 2012 року </t>
  </si>
  <si>
    <t xml:space="preserve">Виконано                                             за звітний період 2011 року </t>
  </si>
  <si>
    <t>Затверджено                                         на січень 2012 року                                 (по тимчасовому розпису)</t>
  </si>
  <si>
    <t>Виконання бюджету м.Южноукраїнська по доходам за січень - лютий  2012 року</t>
  </si>
  <si>
    <t xml:space="preserve">Виконано за звітний період 2011 року </t>
  </si>
  <si>
    <t xml:space="preserve"> на звітний період 2012 р.</t>
  </si>
  <si>
    <t>до плану на  2012 рік</t>
  </si>
  <si>
    <t>180300</t>
  </si>
  <si>
    <t>місцеві податки і збори</t>
  </si>
  <si>
    <t>410344,                            410350</t>
  </si>
  <si>
    <t>310100</t>
  </si>
  <si>
    <t>до плану звітного періода 2012 року</t>
  </si>
  <si>
    <t xml:space="preserve">Виконання міського бюджету по доходах за І квартал 2012 року </t>
  </si>
  <si>
    <t xml:space="preserve">Виконано за 1 квартал 2011 року </t>
  </si>
  <si>
    <t>на 2012 рік всього:</t>
  </si>
  <si>
    <t xml:space="preserve"> звітний період 2012 р.</t>
  </si>
  <si>
    <t xml:space="preserve"> за звітний період 2012 р.</t>
  </si>
  <si>
    <t>до виконання звітного періода 2012 року</t>
  </si>
  <si>
    <t>до плану на 2012 рік</t>
  </si>
  <si>
    <t>Субвенція з державного бюджету місцевим бюджетам набудівництво, реконструкцію, ремонт та утримання вулиць і доріг комунальної власності у населених пунктах</t>
  </si>
  <si>
    <t>Штрафні санкції за порушення законодавства про патентування, за порушення норм регулювання обігу готівки</t>
  </si>
  <si>
    <t>Інші субвенції</t>
  </si>
  <si>
    <t>Місцеві податки і збори - всього,                                              в тому числі:</t>
  </si>
  <si>
    <r>
      <t xml:space="preserve">Дорожнє господарство - всього,                                      </t>
    </r>
    <r>
      <rPr>
        <sz val="12"/>
        <rFont val="Times New Roman"/>
        <family val="1"/>
      </rPr>
      <t xml:space="preserve"> в тому числі:</t>
    </r>
  </si>
  <si>
    <r>
      <t xml:space="preserve">Фонд охорони навколишнього природнього середовища - всього, </t>
    </r>
    <r>
      <rPr>
        <sz val="12"/>
        <rFont val="Times New Roman"/>
        <family val="1"/>
      </rPr>
      <t>в тому числі:</t>
    </r>
  </si>
  <si>
    <r>
      <t xml:space="preserve">Бюджет розвитку - всього,                                                                     </t>
    </r>
    <r>
      <rPr>
        <sz val="12"/>
        <rFont val="Times New Roman"/>
        <family val="1"/>
      </rPr>
      <t>в тому числі:</t>
    </r>
  </si>
  <si>
    <t>в 12 раз</t>
  </si>
  <si>
    <t>в 3 рази</t>
  </si>
  <si>
    <t>в 10 раз</t>
  </si>
  <si>
    <t>в 6,3 рази</t>
  </si>
  <si>
    <t>в 2 рази</t>
  </si>
  <si>
    <t>в 2,3 рази</t>
  </si>
  <si>
    <t>в 7 раз</t>
  </si>
  <si>
    <t>в 2,2 рази</t>
  </si>
  <si>
    <t>в 2,6 раз</t>
  </si>
  <si>
    <t xml:space="preserve">Виконання міського бюджету по доходах за січень-квітень 2012 року </t>
  </si>
  <si>
    <t xml:space="preserve">Виконано за січень-квітень 2011 року </t>
  </si>
  <si>
    <t>Плата за державну реєстрацію (крім реєстраційного збору за провадження державної реєстрації юр.осіб та фіз.осіб - підприємців)</t>
  </si>
  <si>
    <t xml:space="preserve">Виконання міського бюджету по доходах за січень-травень 2012 року </t>
  </si>
  <si>
    <t xml:space="preserve">Виконано за січень-травень 2011 року </t>
  </si>
  <si>
    <t xml:space="preserve"> звітний місяць (травень)</t>
  </si>
  <si>
    <t>Разом доходів, що не враховуються при визначенні міжбюджетних трансфертів</t>
  </si>
  <si>
    <t xml:space="preserve">Виконання міського бюджету по доходах за 1 півріччя 2012 року </t>
  </si>
  <si>
    <t xml:space="preserve"> звітний місяць (червень)</t>
  </si>
  <si>
    <t xml:space="preserve">Виконано за 1 півріччя 2011 року </t>
  </si>
  <si>
    <t xml:space="preserve">Виконання міського бюджету по доходах за січень-липень 2012 року </t>
  </si>
  <si>
    <t xml:space="preserve"> звітний місяць (липень)</t>
  </si>
  <si>
    <t xml:space="preserve">Виконано за січень-липень 2011 року </t>
  </si>
  <si>
    <t xml:space="preserve">Виконання міського бюджету по доходах за січень-серпень 2012 року </t>
  </si>
  <si>
    <t xml:space="preserve">Виконано за 2011 рік </t>
  </si>
  <si>
    <t>до виконання  2011 року</t>
  </si>
  <si>
    <t xml:space="preserve">Виконано за січень-серпень 2011 року </t>
  </si>
  <si>
    <t xml:space="preserve"> звітний місяць (серпень)</t>
  </si>
  <si>
    <t xml:space="preserve">Виконання міського бюджету по доходах за січень-вересень 2012 року </t>
  </si>
  <si>
    <t>Надходження коштів пайової участі у розвитку інфраструктури населеного пункту</t>
  </si>
  <si>
    <t xml:space="preserve">Виконано за січень-вересень 2011 року </t>
  </si>
  <si>
    <t xml:space="preserve"> звітний місяць (вересень)</t>
  </si>
  <si>
    <t xml:space="preserve">Цільовий фонд </t>
  </si>
  <si>
    <t xml:space="preserve">Виконання міського бюджету по доходах за січень-жовтень 2012 року </t>
  </si>
  <si>
    <t xml:space="preserve">Виконано за січень-жовтень 2011 року </t>
  </si>
  <si>
    <t xml:space="preserve"> звітний місяць (жовтень)</t>
  </si>
  <si>
    <t xml:space="preserve">Виконання міського бюджету по доходах за січень-листопад 2012 року </t>
  </si>
  <si>
    <t xml:space="preserve">Виконано за січень-листопад 2011 року </t>
  </si>
  <si>
    <t xml:space="preserve"> звітний місяць (листопад)</t>
  </si>
  <si>
    <t>.41034401</t>
  </si>
  <si>
    <t>.41035001</t>
  </si>
  <si>
    <t>.24170000</t>
  </si>
  <si>
    <t>.31030000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</si>
  <si>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зв’язку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</si>
  <si>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Офіційні трансферти  - всього, в тому числі:</t>
  </si>
  <si>
    <t>Виконано за                                              2012 рік, тис.грн.</t>
  </si>
  <si>
    <t>Затверджено                                                                         на 2012 рік, тис.грн.</t>
  </si>
  <si>
    <t>Відсоток виконання, %</t>
  </si>
  <si>
    <t>Відхилення      (4-3), тис.грн.</t>
  </si>
  <si>
    <t>Загальний фонд</t>
  </si>
  <si>
    <t>Спеціальний фонд</t>
  </si>
  <si>
    <t>Дорожнє господарство - всього, в тому числі:</t>
  </si>
  <si>
    <t>Фонд охорони навколишнього природнього середовища - всього, в тому числі:</t>
  </si>
  <si>
    <t>Бюджет розвитку - всього,                                                                                           в тому числі:</t>
  </si>
  <si>
    <t>Податок на доходи фізичних осіб (без врахування фіксованого податку на доходи фізичних осіб від зайняття підприємницькою діяльністю)</t>
  </si>
  <si>
    <t>Місцеві податки і збори - всього,                                                 в тому числі:</t>
  </si>
  <si>
    <t>21080500    24060300</t>
  </si>
  <si>
    <t>Доходи разом</t>
  </si>
  <si>
    <t>Офіційні трансферти, всього, в тому числі:</t>
  </si>
  <si>
    <t>Додаток №1</t>
  </si>
  <si>
    <t>до рішення Южноукраїнської</t>
  </si>
  <si>
    <t>міської ради від                    2013 №</t>
  </si>
  <si>
    <t>Начальник фінансового управління</t>
  </si>
  <si>
    <t>Южноукраїнської міської ради</t>
  </si>
  <si>
    <t>Т.О.Гончарова</t>
  </si>
  <si>
    <t>Виконання бюджету міста Южноукраїнська по доходам  за 2012 рік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</si>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</sst>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,##0.0"/>
  </numFmts>
  <fonts count="3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b/>
      <i/>
      <sz val="12"/>
      <name val="Arial Cyr"/>
      <family val="0"/>
    </font>
    <font>
      <b/>
      <sz val="14"/>
      <name val="Times New Roman"/>
      <family val="1"/>
    </font>
    <font>
      <b/>
      <sz val="18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Arial Cyr"/>
      <family val="0"/>
    </font>
    <font>
      <i/>
      <sz val="11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9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9" fontId="5" fillId="0" borderId="1" xfId="0" applyNumberFormat="1" applyFont="1" applyFill="1" applyBorder="1" applyAlignment="1">
      <alignment horizontal="center" vertical="center" wrapText="1"/>
    </xf>
    <xf numFmtId="172" fontId="2" fillId="0" borderId="1" xfId="0" applyNumberFormat="1" applyFont="1" applyFill="1" applyBorder="1" applyAlignment="1">
      <alignment horizontal="left" vertical="center" wrapText="1"/>
    </xf>
    <xf numFmtId="172" fontId="2" fillId="0" borderId="1" xfId="0" applyNumberFormat="1" applyFont="1" applyFill="1" applyBorder="1" applyAlignment="1">
      <alignment horizontal="left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left"/>
    </xf>
    <xf numFmtId="173" fontId="11" fillId="3" borderId="1" xfId="0" applyNumberFormat="1" applyFont="1" applyFill="1" applyBorder="1" applyAlignment="1">
      <alignment/>
    </xf>
    <xf numFmtId="173" fontId="11" fillId="5" borderId="1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173" fontId="13" fillId="3" borderId="1" xfId="0" applyNumberFormat="1" applyFont="1" applyFill="1" applyBorder="1" applyAlignment="1">
      <alignment/>
    </xf>
    <xf numFmtId="173" fontId="13" fillId="5" borderId="1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7" fillId="0" borderId="3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172" fontId="16" fillId="4" borderId="1" xfId="0" applyNumberFormat="1" applyFont="1" applyFill="1" applyBorder="1" applyAlignment="1">
      <alignment horizontal="center" vertical="center" wrapText="1"/>
    </xf>
    <xf numFmtId="173" fontId="9" fillId="4" borderId="5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172" fontId="1" fillId="0" borderId="1" xfId="0" applyNumberFormat="1" applyFont="1" applyFill="1" applyBorder="1" applyAlignment="1">
      <alignment horizontal="left" vertical="center" wrapText="1"/>
    </xf>
    <xf numFmtId="172" fontId="16" fillId="0" borderId="1" xfId="0" applyNumberFormat="1" applyFont="1" applyFill="1" applyBorder="1" applyAlignment="1">
      <alignment horizontal="center" vertical="center" wrapText="1"/>
    </xf>
    <xf numFmtId="173" fontId="1" fillId="0" borderId="1" xfId="0" applyNumberFormat="1" applyFont="1" applyBorder="1" applyAlignment="1">
      <alignment horizontal="center" vertical="center"/>
    </xf>
    <xf numFmtId="173" fontId="3" fillId="0" borderId="5" xfId="0" applyNumberFormat="1" applyFont="1" applyFill="1" applyBorder="1" applyAlignment="1">
      <alignment horizontal="center" vertical="center" wrapText="1"/>
    </xf>
    <xf numFmtId="173" fontId="1" fillId="0" borderId="0" xfId="0" applyNumberFormat="1" applyFont="1" applyAlignment="1">
      <alignment/>
    </xf>
    <xf numFmtId="172" fontId="16" fillId="0" borderId="5" xfId="0" applyNumberFormat="1" applyFont="1" applyFill="1" applyBorder="1" applyAlignment="1">
      <alignment horizontal="center" vertical="center" wrapText="1"/>
    </xf>
    <xf numFmtId="173" fontId="1" fillId="0" borderId="5" xfId="0" applyNumberFormat="1" applyFont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 wrapText="1"/>
    </xf>
    <xf numFmtId="173" fontId="11" fillId="4" borderId="6" xfId="0" applyNumberFormat="1" applyFont="1" applyFill="1" applyBorder="1" applyAlignment="1">
      <alignment horizontal="center" vertical="center" wrapText="1"/>
    </xf>
    <xf numFmtId="49" fontId="20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173" fontId="1" fillId="0" borderId="4" xfId="0" applyNumberFormat="1" applyFont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 wrapText="1"/>
    </xf>
    <xf numFmtId="173" fontId="1" fillId="0" borderId="4" xfId="0" applyNumberFormat="1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173" fontId="21" fillId="2" borderId="4" xfId="0" applyNumberFormat="1" applyFont="1" applyFill="1" applyBorder="1" applyAlignment="1">
      <alignment horizontal="center" vertical="center" wrapText="1"/>
    </xf>
    <xf numFmtId="173" fontId="22" fillId="2" borderId="4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172" fontId="9" fillId="0" borderId="1" xfId="0" applyNumberFormat="1" applyFont="1" applyBorder="1" applyAlignment="1">
      <alignment vertical="center"/>
    </xf>
    <xf numFmtId="173" fontId="1" fillId="0" borderId="1" xfId="0" applyNumberFormat="1" applyFont="1" applyBorder="1" applyAlignment="1">
      <alignment horizontal="center" vertical="center"/>
    </xf>
    <xf numFmtId="173" fontId="1" fillId="0" borderId="1" xfId="0" applyNumberFormat="1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vertical="center"/>
    </xf>
    <xf numFmtId="172" fontId="14" fillId="7" borderId="1" xfId="0" applyNumberFormat="1" applyFont="1" applyFill="1" applyBorder="1" applyAlignment="1">
      <alignment vertical="center"/>
    </xf>
    <xf numFmtId="173" fontId="21" fillId="7" borderId="5" xfId="0" applyNumberFormat="1" applyFont="1" applyFill="1" applyBorder="1" applyAlignment="1">
      <alignment horizontal="center" vertical="center"/>
    </xf>
    <xf numFmtId="173" fontId="24" fillId="7" borderId="5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/>
    </xf>
    <xf numFmtId="172" fontId="9" fillId="2" borderId="5" xfId="0" applyNumberFormat="1" applyFont="1" applyFill="1" applyBorder="1" applyAlignment="1">
      <alignment vertical="center"/>
    </xf>
    <xf numFmtId="173" fontId="9" fillId="2" borderId="1" xfId="0" applyNumberFormat="1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72" fontId="9" fillId="0" borderId="5" xfId="0" applyNumberFormat="1" applyFont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173" fontId="1" fillId="0" borderId="4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73" fontId="9" fillId="0" borderId="1" xfId="0" applyNumberFormat="1" applyFont="1" applyBorder="1" applyAlignment="1">
      <alignment horizontal="center" vertical="center"/>
    </xf>
    <xf numFmtId="173" fontId="9" fillId="0" borderId="5" xfId="0" applyNumberFormat="1" applyFont="1" applyFill="1" applyBorder="1" applyAlignment="1">
      <alignment horizontal="center" vertical="center" wrapText="1"/>
    </xf>
    <xf numFmtId="173" fontId="9" fillId="0" borderId="1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173" fontId="9" fillId="0" borderId="5" xfId="0" applyNumberFormat="1" applyFont="1" applyBorder="1" applyAlignment="1">
      <alignment horizontal="center" vertical="center"/>
    </xf>
    <xf numFmtId="173" fontId="21" fillId="0" borderId="1" xfId="0" applyNumberFormat="1" applyFont="1" applyBorder="1" applyAlignment="1">
      <alignment horizontal="center" vertical="center"/>
    </xf>
    <xf numFmtId="173" fontId="21" fillId="0" borderId="1" xfId="0" applyNumberFormat="1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vertical="center"/>
    </xf>
    <xf numFmtId="172" fontId="14" fillId="8" borderId="1" xfId="0" applyNumberFormat="1" applyFont="1" applyFill="1" applyBorder="1" applyAlignment="1">
      <alignment vertical="center"/>
    </xf>
    <xf numFmtId="0" fontId="14" fillId="0" borderId="1" xfId="0" applyFont="1" applyBorder="1" applyAlignment="1">
      <alignment vertical="center"/>
    </xf>
    <xf numFmtId="172" fontId="14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/>
    </xf>
    <xf numFmtId="0" fontId="1" fillId="0" borderId="8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7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72" fontId="1" fillId="0" borderId="0" xfId="0" applyNumberFormat="1" applyFont="1" applyAlignment="1">
      <alignment/>
    </xf>
    <xf numFmtId="0" fontId="20" fillId="0" borderId="1" xfId="0" applyNumberFormat="1" applyFont="1" applyBorder="1" applyAlignment="1">
      <alignment horizontal="center" vertical="center" wrapText="1"/>
    </xf>
    <xf numFmtId="173" fontId="1" fillId="0" borderId="4" xfId="0" applyNumberFormat="1" applyFon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8" fillId="4" borderId="0" xfId="0" applyFont="1" applyFill="1" applyAlignment="1">
      <alignment/>
    </xf>
    <xf numFmtId="173" fontId="9" fillId="4" borderId="5" xfId="0" applyNumberFormat="1" applyFont="1" applyFill="1" applyBorder="1" applyAlignment="1">
      <alignment horizontal="right" vertical="center" wrapText="1"/>
    </xf>
    <xf numFmtId="173" fontId="1" fillId="0" borderId="1" xfId="0" applyNumberFormat="1" applyFont="1" applyBorder="1" applyAlignment="1">
      <alignment horizontal="right" vertical="center"/>
    </xf>
    <xf numFmtId="173" fontId="1" fillId="0" borderId="5" xfId="0" applyNumberFormat="1" applyFont="1" applyBorder="1" applyAlignment="1">
      <alignment horizontal="right" vertical="center"/>
    </xf>
    <xf numFmtId="173" fontId="11" fillId="4" borderId="6" xfId="0" applyNumberFormat="1" applyFont="1" applyFill="1" applyBorder="1" applyAlignment="1">
      <alignment horizontal="right" vertical="center" wrapText="1"/>
    </xf>
    <xf numFmtId="173" fontId="1" fillId="0" borderId="4" xfId="0" applyNumberFormat="1" applyFont="1" applyBorder="1" applyAlignment="1">
      <alignment horizontal="right" vertical="center"/>
    </xf>
    <xf numFmtId="173" fontId="1" fillId="0" borderId="4" xfId="0" applyNumberFormat="1" applyFont="1" applyFill="1" applyBorder="1" applyAlignment="1">
      <alignment horizontal="right" vertical="center"/>
    </xf>
    <xf numFmtId="173" fontId="21" fillId="2" borderId="4" xfId="0" applyNumberFormat="1" applyFont="1" applyFill="1" applyBorder="1" applyAlignment="1">
      <alignment horizontal="right" vertical="center" wrapText="1"/>
    </xf>
    <xf numFmtId="173" fontId="1" fillId="0" borderId="1" xfId="0" applyNumberFormat="1" applyFont="1" applyBorder="1" applyAlignment="1">
      <alignment horizontal="right" vertical="center"/>
    </xf>
    <xf numFmtId="173" fontId="1" fillId="0" borderId="1" xfId="0" applyNumberFormat="1" applyFont="1" applyFill="1" applyBorder="1" applyAlignment="1">
      <alignment horizontal="right" vertical="center"/>
    </xf>
    <xf numFmtId="173" fontId="21" fillId="7" borderId="5" xfId="0" applyNumberFormat="1" applyFont="1" applyFill="1" applyBorder="1" applyAlignment="1">
      <alignment horizontal="right" vertical="center"/>
    </xf>
    <xf numFmtId="173" fontId="9" fillId="2" borderId="1" xfId="0" applyNumberFormat="1" applyFont="1" applyFill="1" applyBorder="1" applyAlignment="1">
      <alignment horizontal="right" vertical="center"/>
    </xf>
    <xf numFmtId="173" fontId="1" fillId="0" borderId="9" xfId="0" applyNumberFormat="1" applyFont="1" applyFill="1" applyBorder="1" applyAlignment="1">
      <alignment horizontal="right" vertical="center"/>
    </xf>
    <xf numFmtId="173" fontId="1" fillId="0" borderId="4" xfId="0" applyNumberFormat="1" applyFont="1" applyBorder="1" applyAlignment="1">
      <alignment horizontal="right" vertical="center"/>
    </xf>
    <xf numFmtId="173" fontId="9" fillId="0" borderId="1" xfId="0" applyNumberFormat="1" applyFont="1" applyBorder="1" applyAlignment="1">
      <alignment horizontal="right" vertical="center"/>
    </xf>
    <xf numFmtId="173" fontId="9" fillId="0" borderId="5" xfId="0" applyNumberFormat="1" applyFont="1" applyFill="1" applyBorder="1" applyAlignment="1">
      <alignment horizontal="right" vertical="center" wrapText="1"/>
    </xf>
    <xf numFmtId="173" fontId="9" fillId="0" borderId="1" xfId="0" applyNumberFormat="1" applyFont="1" applyFill="1" applyBorder="1" applyAlignment="1">
      <alignment horizontal="right" vertical="center"/>
    </xf>
    <xf numFmtId="173" fontId="9" fillId="0" borderId="5" xfId="0" applyNumberFormat="1" applyFont="1" applyBorder="1" applyAlignment="1">
      <alignment horizontal="right" vertical="center"/>
    </xf>
    <xf numFmtId="173" fontId="1" fillId="0" borderId="5" xfId="0" applyNumberFormat="1" applyFont="1" applyFill="1" applyBorder="1" applyAlignment="1">
      <alignment horizontal="right" vertical="center" wrapText="1"/>
    </xf>
    <xf numFmtId="173" fontId="19" fillId="4" borderId="1" xfId="0" applyNumberFormat="1" applyFont="1" applyFill="1" applyBorder="1" applyAlignment="1">
      <alignment horizontal="right" vertical="center"/>
    </xf>
    <xf numFmtId="173" fontId="19" fillId="4" borderId="0" xfId="0" applyNumberFormat="1" applyFont="1" applyFill="1" applyAlignment="1">
      <alignment horizontal="right"/>
    </xf>
    <xf numFmtId="173" fontId="9" fillId="4" borderId="1" xfId="0" applyNumberFormat="1" applyFont="1" applyFill="1" applyBorder="1" applyAlignment="1">
      <alignment horizontal="right" vertical="center" wrapText="1"/>
    </xf>
    <xf numFmtId="173" fontId="20" fillId="0" borderId="1" xfId="0" applyNumberFormat="1" applyFont="1" applyBorder="1" applyAlignment="1">
      <alignment horizontal="right" vertical="center"/>
    </xf>
    <xf numFmtId="173" fontId="1" fillId="0" borderId="0" xfId="0" applyNumberFormat="1" applyFont="1" applyAlignment="1">
      <alignment horizontal="right"/>
    </xf>
    <xf numFmtId="173" fontId="1" fillId="0" borderId="1" xfId="0" applyNumberFormat="1" applyFont="1" applyBorder="1" applyAlignment="1">
      <alignment horizontal="right" vertical="center" wrapText="1"/>
    </xf>
    <xf numFmtId="173" fontId="19" fillId="2" borderId="1" xfId="0" applyNumberFormat="1" applyFont="1" applyFill="1" applyBorder="1" applyAlignment="1">
      <alignment horizontal="right" vertical="center"/>
    </xf>
    <xf numFmtId="173" fontId="23" fillId="2" borderId="0" xfId="0" applyNumberFormat="1" applyFont="1" applyFill="1" applyAlignment="1">
      <alignment horizontal="right"/>
    </xf>
    <xf numFmtId="173" fontId="21" fillId="2" borderId="1" xfId="0" applyNumberFormat="1" applyFont="1" applyFill="1" applyBorder="1" applyAlignment="1">
      <alignment horizontal="right" vertical="center" wrapText="1"/>
    </xf>
    <xf numFmtId="173" fontId="9" fillId="2" borderId="1" xfId="0" applyNumberFormat="1" applyFont="1" applyFill="1" applyBorder="1" applyAlignment="1">
      <alignment horizontal="right" vertical="center" wrapText="1"/>
    </xf>
    <xf numFmtId="173" fontId="1" fillId="0" borderId="0" xfId="0" applyNumberFormat="1" applyFont="1" applyAlignment="1">
      <alignment horizontal="right"/>
    </xf>
    <xf numFmtId="173" fontId="19" fillId="7" borderId="1" xfId="0" applyNumberFormat="1" applyFont="1" applyFill="1" applyBorder="1" applyAlignment="1">
      <alignment horizontal="right" vertical="center"/>
    </xf>
    <xf numFmtId="173" fontId="21" fillId="7" borderId="0" xfId="0" applyNumberFormat="1" applyFont="1" applyFill="1" applyAlignment="1">
      <alignment horizontal="right"/>
    </xf>
    <xf numFmtId="173" fontId="9" fillId="7" borderId="1" xfId="0" applyNumberFormat="1" applyFont="1" applyFill="1" applyBorder="1" applyAlignment="1">
      <alignment horizontal="right" vertical="center" wrapText="1"/>
    </xf>
    <xf numFmtId="173" fontId="9" fillId="2" borderId="0" xfId="0" applyNumberFormat="1" applyFont="1" applyFill="1" applyAlignment="1">
      <alignment horizontal="right"/>
    </xf>
    <xf numFmtId="173" fontId="25" fillId="0" borderId="0" xfId="0" applyNumberFormat="1" applyFont="1" applyAlignment="1">
      <alignment horizontal="right"/>
    </xf>
    <xf numFmtId="173" fontId="21" fillId="0" borderId="0" xfId="0" applyNumberFormat="1" applyFont="1" applyAlignment="1">
      <alignment horizontal="right"/>
    </xf>
    <xf numFmtId="173" fontId="9" fillId="0" borderId="1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49" fontId="20" fillId="0" borderId="5" xfId="0" applyNumberFormat="1" applyFont="1" applyBorder="1" applyAlignment="1">
      <alignment horizontal="center" vertical="center" wrapText="1"/>
    </xf>
    <xf numFmtId="173" fontId="1" fillId="0" borderId="10" xfId="0" applyNumberFormat="1" applyFont="1" applyFill="1" applyBorder="1" applyAlignment="1">
      <alignment horizontal="right" vertical="center"/>
    </xf>
    <xf numFmtId="173" fontId="1" fillId="0" borderId="4" xfId="0" applyNumberFormat="1" applyFont="1" applyFill="1" applyBorder="1" applyAlignment="1">
      <alignment horizontal="right" vertical="center"/>
    </xf>
    <xf numFmtId="0" fontId="27" fillId="0" borderId="1" xfId="0" applyFont="1" applyBorder="1" applyAlignment="1">
      <alignment wrapText="1"/>
    </xf>
    <xf numFmtId="172" fontId="27" fillId="0" borderId="1" xfId="0" applyNumberFormat="1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wrapText="1"/>
    </xf>
    <xf numFmtId="0" fontId="27" fillId="0" borderId="1" xfId="0" applyFont="1" applyFill="1" applyBorder="1" applyAlignment="1">
      <alignment horizontal="left" vertical="center" wrapText="1"/>
    </xf>
    <xf numFmtId="0" fontId="27" fillId="0" borderId="4" xfId="0" applyFont="1" applyFill="1" applyBorder="1" applyAlignment="1">
      <alignment horizontal="left" vertical="center" wrapText="1"/>
    </xf>
    <xf numFmtId="0" fontId="27" fillId="0" borderId="7" xfId="0" applyFont="1" applyFill="1" applyBorder="1" applyAlignment="1">
      <alignment horizontal="left" vertical="center" wrapText="1"/>
    </xf>
    <xf numFmtId="172" fontId="27" fillId="0" borderId="1" xfId="0" applyNumberFormat="1" applyFont="1" applyFill="1" applyBorder="1" applyAlignment="1">
      <alignment horizontal="left" wrapText="1"/>
    </xf>
    <xf numFmtId="49" fontId="28" fillId="0" borderId="4" xfId="0" applyNumberFormat="1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9" fillId="7" borderId="2" xfId="0" applyFont="1" applyFill="1" applyBorder="1" applyAlignment="1">
      <alignment vertical="center"/>
    </xf>
    <xf numFmtId="172" fontId="9" fillId="7" borderId="5" xfId="0" applyNumberFormat="1" applyFont="1" applyFill="1" applyBorder="1" applyAlignment="1">
      <alignment vertical="center"/>
    </xf>
    <xf numFmtId="173" fontId="21" fillId="7" borderId="1" xfId="0" applyNumberFormat="1" applyFont="1" applyFill="1" applyBorder="1" applyAlignment="1">
      <alignment horizontal="right" vertical="center"/>
    </xf>
    <xf numFmtId="0" fontId="14" fillId="6" borderId="1" xfId="0" applyFont="1" applyFill="1" applyBorder="1" applyAlignment="1">
      <alignment vertical="center"/>
    </xf>
    <xf numFmtId="172" fontId="14" fillId="6" borderId="1" xfId="0" applyNumberFormat="1" applyFont="1" applyFill="1" applyBorder="1" applyAlignment="1">
      <alignment vertical="center"/>
    </xf>
    <xf numFmtId="173" fontId="9" fillId="6" borderId="1" xfId="0" applyNumberFormat="1" applyFont="1" applyFill="1" applyBorder="1" applyAlignment="1">
      <alignment horizontal="right" vertical="center"/>
    </xf>
    <xf numFmtId="173" fontId="19" fillId="6" borderId="1" xfId="0" applyNumberFormat="1" applyFont="1" applyFill="1" applyBorder="1" applyAlignment="1">
      <alignment horizontal="right" vertical="center"/>
    </xf>
    <xf numFmtId="173" fontId="21" fillId="6" borderId="0" xfId="0" applyNumberFormat="1" applyFont="1" applyFill="1" applyAlignment="1">
      <alignment horizontal="right"/>
    </xf>
    <xf numFmtId="173" fontId="9" fillId="6" borderId="1" xfId="0" applyNumberFormat="1" applyFont="1" applyFill="1" applyBorder="1" applyAlignment="1">
      <alignment horizontal="right" vertical="center" wrapText="1"/>
    </xf>
    <xf numFmtId="49" fontId="28" fillId="0" borderId="5" xfId="0" applyNumberFormat="1" applyFont="1" applyFill="1" applyBorder="1" applyAlignment="1">
      <alignment horizontal="center" vertical="center" wrapText="1"/>
    </xf>
    <xf numFmtId="172" fontId="16" fillId="0" borderId="4" xfId="0" applyNumberFormat="1" applyFont="1" applyFill="1" applyBorder="1" applyAlignment="1">
      <alignment horizontal="center" vertical="center" wrapText="1"/>
    </xf>
    <xf numFmtId="172" fontId="16" fillId="0" borderId="6" xfId="0" applyNumberFormat="1" applyFont="1" applyFill="1" applyBorder="1" applyAlignment="1">
      <alignment horizontal="center" vertical="center" wrapText="1"/>
    </xf>
    <xf numFmtId="173" fontId="1" fillId="0" borderId="6" xfId="0" applyNumberFormat="1" applyFont="1" applyBorder="1" applyAlignment="1">
      <alignment horizontal="right" vertical="center"/>
    </xf>
    <xf numFmtId="173" fontId="1" fillId="0" borderId="6" xfId="0" applyNumberFormat="1" applyFont="1" applyFill="1" applyBorder="1" applyAlignment="1">
      <alignment horizontal="right" vertical="center" wrapText="1"/>
    </xf>
    <xf numFmtId="0" fontId="20" fillId="0" borderId="4" xfId="0" applyFont="1" applyBorder="1" applyAlignment="1">
      <alignment horizontal="center" wrapText="1"/>
    </xf>
    <xf numFmtId="172" fontId="1" fillId="0" borderId="4" xfId="0" applyNumberFormat="1" applyFont="1" applyFill="1" applyBorder="1" applyAlignment="1">
      <alignment horizontal="left" vertical="center" wrapText="1"/>
    </xf>
    <xf numFmtId="173" fontId="1" fillId="0" borderId="6" xfId="0" applyNumberFormat="1" applyFont="1" applyBorder="1" applyAlignment="1">
      <alignment horizontal="center" vertical="center"/>
    </xf>
    <xf numFmtId="173" fontId="19" fillId="8" borderId="1" xfId="0" applyNumberFormat="1" applyFont="1" applyFill="1" applyBorder="1" applyAlignment="1">
      <alignment vertical="center"/>
    </xf>
    <xf numFmtId="173" fontId="19" fillId="8" borderId="1" xfId="0" applyNumberFormat="1" applyFont="1" applyFill="1" applyBorder="1" applyAlignment="1">
      <alignment horizontal="center" vertical="center"/>
    </xf>
    <xf numFmtId="173" fontId="1" fillId="0" borderId="5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3" fontId="1" fillId="0" borderId="1" xfId="0" applyNumberFormat="1" applyFont="1" applyBorder="1" applyAlignment="1">
      <alignment horizontal="right"/>
    </xf>
    <xf numFmtId="173" fontId="10" fillId="0" borderId="1" xfId="0" applyNumberFormat="1" applyFont="1" applyBorder="1" applyAlignment="1">
      <alignment/>
    </xf>
    <xf numFmtId="173" fontId="10" fillId="2" borderId="1" xfId="0" applyNumberFormat="1" applyFont="1" applyFill="1" applyBorder="1" applyAlignment="1">
      <alignment/>
    </xf>
    <xf numFmtId="173" fontId="11" fillId="4" borderId="1" xfId="0" applyNumberFormat="1" applyFont="1" applyFill="1" applyBorder="1" applyAlignment="1">
      <alignment/>
    </xf>
    <xf numFmtId="173" fontId="13" fillId="0" borderId="1" xfId="0" applyNumberFormat="1" applyFont="1" applyBorder="1" applyAlignment="1">
      <alignment/>
    </xf>
    <xf numFmtId="173" fontId="13" fillId="2" borderId="1" xfId="0" applyNumberFormat="1" applyFont="1" applyFill="1" applyBorder="1" applyAlignment="1">
      <alignment/>
    </xf>
    <xf numFmtId="0" fontId="1" fillId="6" borderId="0" xfId="0" applyFont="1" applyFill="1" applyAlignment="1">
      <alignment/>
    </xf>
    <xf numFmtId="0" fontId="18" fillId="6" borderId="0" xfId="0" applyFont="1" applyFill="1" applyAlignment="1">
      <alignment/>
    </xf>
    <xf numFmtId="0" fontId="2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/>
    </xf>
    <xf numFmtId="173" fontId="9" fillId="6" borderId="5" xfId="0" applyNumberFormat="1" applyFont="1" applyFill="1" applyBorder="1" applyAlignment="1">
      <alignment horizontal="center" vertical="center" wrapText="1"/>
    </xf>
    <xf numFmtId="173" fontId="1" fillId="6" borderId="1" xfId="0" applyNumberFormat="1" applyFont="1" applyFill="1" applyBorder="1" applyAlignment="1">
      <alignment horizontal="center" vertical="center"/>
    </xf>
    <xf numFmtId="173" fontId="11" fillId="6" borderId="6" xfId="0" applyNumberFormat="1" applyFont="1" applyFill="1" applyBorder="1" applyAlignment="1">
      <alignment horizontal="center" vertical="center" wrapText="1"/>
    </xf>
    <xf numFmtId="173" fontId="1" fillId="6" borderId="4" xfId="0" applyNumberFormat="1" applyFont="1" applyFill="1" applyBorder="1" applyAlignment="1">
      <alignment horizontal="center" vertical="center"/>
    </xf>
    <xf numFmtId="173" fontId="21" fillId="6" borderId="4" xfId="0" applyNumberFormat="1" applyFont="1" applyFill="1" applyBorder="1" applyAlignment="1">
      <alignment horizontal="center" vertical="center" wrapText="1"/>
    </xf>
    <xf numFmtId="173" fontId="1" fillId="6" borderId="1" xfId="0" applyNumberFormat="1" applyFont="1" applyFill="1" applyBorder="1" applyAlignment="1">
      <alignment horizontal="center" vertical="center"/>
    </xf>
    <xf numFmtId="173" fontId="21" fillId="6" borderId="5" xfId="0" applyNumberFormat="1" applyFont="1" applyFill="1" applyBorder="1" applyAlignment="1">
      <alignment horizontal="center" vertical="center"/>
    </xf>
    <xf numFmtId="173" fontId="9" fillId="6" borderId="1" xfId="0" applyNumberFormat="1" applyFont="1" applyFill="1" applyBorder="1" applyAlignment="1">
      <alignment horizontal="center" vertical="center"/>
    </xf>
    <xf numFmtId="173" fontId="21" fillId="6" borderId="1" xfId="0" applyNumberFormat="1" applyFont="1" applyFill="1" applyBorder="1" applyAlignment="1">
      <alignment horizontal="center" vertical="center"/>
    </xf>
    <xf numFmtId="173" fontId="19" fillId="6" borderId="1" xfId="0" applyNumberFormat="1" applyFont="1" applyFill="1" applyBorder="1" applyAlignment="1">
      <alignment vertical="center"/>
    </xf>
    <xf numFmtId="172" fontId="1" fillId="6" borderId="0" xfId="0" applyNumberFormat="1" applyFont="1" applyFill="1" applyBorder="1" applyAlignment="1">
      <alignment horizontal="center"/>
    </xf>
    <xf numFmtId="172" fontId="1" fillId="6" borderId="0" xfId="0" applyNumberFormat="1" applyFont="1" applyFill="1" applyAlignment="1">
      <alignment/>
    </xf>
    <xf numFmtId="0" fontId="20" fillId="0" borderId="1" xfId="0" applyFont="1" applyBorder="1" applyAlignment="1">
      <alignment/>
    </xf>
    <xf numFmtId="173" fontId="29" fillId="0" borderId="1" xfId="0" applyNumberFormat="1" applyFont="1" applyBorder="1" applyAlignment="1">
      <alignment/>
    </xf>
    <xf numFmtId="173" fontId="13" fillId="4" borderId="1" xfId="0" applyNumberFormat="1" applyFont="1" applyFill="1" applyBorder="1" applyAlignment="1">
      <alignment/>
    </xf>
    <xf numFmtId="0" fontId="20" fillId="0" borderId="1" xfId="0" applyFont="1" applyBorder="1" applyAlignment="1">
      <alignment wrapText="1"/>
    </xf>
    <xf numFmtId="49" fontId="20" fillId="0" borderId="1" xfId="0" applyNumberFormat="1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19" fillId="4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173" fontId="29" fillId="4" borderId="1" xfId="0" applyNumberFormat="1" applyFont="1" applyFill="1" applyBorder="1" applyAlignment="1">
      <alignment/>
    </xf>
    <xf numFmtId="173" fontId="10" fillId="4" borderId="1" xfId="0" applyNumberFormat="1" applyFont="1" applyFill="1" applyBorder="1" applyAlignment="1">
      <alignment/>
    </xf>
    <xf numFmtId="173" fontId="29" fillId="0" borderId="1" xfId="0" applyNumberFormat="1" applyFont="1" applyFill="1" applyBorder="1" applyAlignment="1">
      <alignment/>
    </xf>
    <xf numFmtId="173" fontId="10" fillId="0" borderId="1" xfId="0" applyNumberFormat="1" applyFont="1" applyFill="1" applyBorder="1" applyAlignment="1">
      <alignment/>
    </xf>
    <xf numFmtId="0" fontId="9" fillId="4" borderId="1" xfId="0" applyFont="1" applyFill="1" applyBorder="1" applyAlignment="1">
      <alignment horizontal="left"/>
    </xf>
    <xf numFmtId="173" fontId="10" fillId="5" borderId="1" xfId="0" applyNumberFormat="1" applyFont="1" applyFill="1" applyBorder="1" applyAlignment="1">
      <alignment/>
    </xf>
    <xf numFmtId="173" fontId="29" fillId="5" borderId="1" xfId="0" applyNumberFormat="1" applyFont="1" applyFill="1" applyBorder="1" applyAlignment="1">
      <alignment/>
    </xf>
    <xf numFmtId="173" fontId="11" fillId="6" borderId="1" xfId="0" applyNumberFormat="1" applyFont="1" applyFill="1" applyBorder="1" applyAlignment="1">
      <alignment/>
    </xf>
    <xf numFmtId="173" fontId="13" fillId="6" borderId="1" xfId="0" applyNumberFormat="1" applyFont="1" applyFill="1" applyBorder="1" applyAlignment="1">
      <alignment/>
    </xf>
    <xf numFmtId="0" fontId="2" fillId="0" borderId="4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0" xfId="0" applyFont="1" applyAlignment="1">
      <alignment/>
    </xf>
    <xf numFmtId="173" fontId="10" fillId="0" borderId="1" xfId="0" applyNumberFormat="1" applyFont="1" applyBorder="1" applyAlignment="1">
      <alignment horizontal="right"/>
    </xf>
    <xf numFmtId="0" fontId="19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173" fontId="11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30" fillId="0" borderId="0" xfId="0" applyFont="1" applyAlignment="1">
      <alignment/>
    </xf>
    <xf numFmtId="173" fontId="13" fillId="3" borderId="1" xfId="0" applyNumberFormat="1" applyFont="1" applyFill="1" applyBorder="1" applyAlignment="1">
      <alignment horizontal="right"/>
    </xf>
    <xf numFmtId="173" fontId="11" fillId="3" borderId="1" xfId="0" applyNumberFormat="1" applyFont="1" applyFill="1" applyBorder="1" applyAlignment="1">
      <alignment horizontal="right"/>
    </xf>
    <xf numFmtId="173" fontId="13" fillId="5" borderId="1" xfId="0" applyNumberFormat="1" applyFont="1" applyFill="1" applyBorder="1" applyAlignment="1">
      <alignment horizontal="right"/>
    </xf>
    <xf numFmtId="173" fontId="11" fillId="5" borderId="1" xfId="0" applyNumberFormat="1" applyFont="1" applyFill="1" applyBorder="1" applyAlignment="1">
      <alignment horizontal="right"/>
    </xf>
    <xf numFmtId="173" fontId="29" fillId="0" borderId="1" xfId="0" applyNumberFormat="1" applyFont="1" applyBorder="1" applyAlignment="1">
      <alignment horizontal="right"/>
    </xf>
    <xf numFmtId="173" fontId="13" fillId="4" borderId="1" xfId="0" applyNumberFormat="1" applyFont="1" applyFill="1" applyBorder="1" applyAlignment="1">
      <alignment horizontal="right"/>
    </xf>
    <xf numFmtId="173" fontId="11" fillId="4" borderId="1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173" fontId="29" fillId="0" borderId="1" xfId="0" applyNumberFormat="1" applyFont="1" applyFill="1" applyBorder="1" applyAlignment="1">
      <alignment horizontal="right"/>
    </xf>
    <xf numFmtId="173" fontId="10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2" fontId="1" fillId="0" borderId="1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5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8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172" fontId="9" fillId="4" borderId="5" xfId="0" applyNumberFormat="1" applyFont="1" applyFill="1" applyBorder="1" applyAlignment="1">
      <alignment horizontal="left" vertical="center" wrapText="1"/>
    </xf>
    <xf numFmtId="172" fontId="9" fillId="4" borderId="2" xfId="0" applyNumberFormat="1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4" fillId="2" borderId="5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vertical="center" wrapText="1"/>
    </xf>
    <xf numFmtId="0" fontId="14" fillId="7" borderId="5" xfId="0" applyFont="1" applyFill="1" applyBorder="1" applyAlignment="1">
      <alignment horizontal="left" vertical="center" wrapText="1"/>
    </xf>
    <xf numFmtId="0" fontId="14" fillId="7" borderId="2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14" fillId="7" borderId="13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4" fillId="8" borderId="13" xfId="0" applyFont="1" applyFill="1" applyBorder="1" applyAlignment="1">
      <alignment horizontal="left" vertical="center" wrapText="1"/>
    </xf>
    <xf numFmtId="0" fontId="14" fillId="8" borderId="2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/>
    </xf>
    <xf numFmtId="2" fontId="9" fillId="5" borderId="1" xfId="0" applyNumberFormat="1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left" wrapText="1"/>
    </xf>
    <xf numFmtId="0" fontId="9" fillId="5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6" borderId="1" xfId="0" applyFont="1" applyFill="1" applyBorder="1" applyAlignment="1">
      <alignment horizontal="left" wrapText="1"/>
    </xf>
    <xf numFmtId="0" fontId="10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2" fontId="1" fillId="0" borderId="1" xfId="0" applyNumberFormat="1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%2001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01.11(тимчас)"/>
      <sheetName val="1.01.11 "/>
      <sheetName val="1.02.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workbookViewId="0" topLeftCell="A1">
      <selection activeCell="G34" sqref="G34"/>
    </sheetView>
  </sheetViews>
  <sheetFormatPr defaultColWidth="9.00390625" defaultRowHeight="12.75"/>
  <cols>
    <col min="1" max="1" width="11.875" style="29" customWidth="1"/>
    <col min="2" max="2" width="37.00390625" style="30" customWidth="1"/>
    <col min="3" max="3" width="11.00390625" style="30" hidden="1" customWidth="1"/>
    <col min="4" max="4" width="14.75390625" style="30" hidden="1" customWidth="1"/>
    <col min="5" max="5" width="13.75390625" style="30" customWidth="1"/>
    <col min="6" max="6" width="11.25390625" style="30" hidden="1" customWidth="1"/>
    <col min="7" max="7" width="14.25390625" style="30" customWidth="1"/>
    <col min="8" max="8" width="8.00390625" style="30" hidden="1" customWidth="1"/>
    <col min="9" max="9" width="15.375" style="30" customWidth="1"/>
    <col min="10" max="10" width="8.25390625" style="30" hidden="1" customWidth="1"/>
    <col min="11" max="11" width="13.125" style="30" customWidth="1"/>
    <col min="12" max="12" width="14.125" style="30" customWidth="1"/>
    <col min="13" max="13" width="0.12890625" style="30" hidden="1" customWidth="1"/>
    <col min="14" max="14" width="9.125" style="30" hidden="1" customWidth="1"/>
    <col min="15" max="15" width="13.125" style="30" customWidth="1"/>
    <col min="16" max="16" width="11.125" style="30" customWidth="1"/>
    <col min="17" max="18" width="9.125" style="30" customWidth="1"/>
    <col min="19" max="19" width="10.125" style="30" bestFit="1" customWidth="1"/>
    <col min="20" max="16384" width="9.125" style="30" customWidth="1"/>
  </cols>
  <sheetData>
    <row r="1" ht="15.75">
      <c r="P1" s="30" t="s">
        <v>54</v>
      </c>
    </row>
    <row r="2" spans="1:16" ht="19.5" customHeight="1">
      <c r="A2" s="282" t="s">
        <v>115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</row>
    <row r="3" spans="2:12" ht="14.25" customHeight="1">
      <c r="B3" s="31"/>
      <c r="C3" s="34"/>
      <c r="D3" s="34"/>
      <c r="E3" s="32"/>
      <c r="F3" s="32"/>
      <c r="G3" s="35"/>
      <c r="H3" s="32"/>
      <c r="I3" s="33"/>
      <c r="J3" s="33"/>
      <c r="K3" s="33"/>
      <c r="L3" s="33"/>
    </row>
    <row r="4" spans="1:16" s="38" customFormat="1" ht="35.25" customHeight="1">
      <c r="A4" s="291" t="s">
        <v>61</v>
      </c>
      <c r="B4" s="293" t="s">
        <v>62</v>
      </c>
      <c r="C4" s="262" t="s">
        <v>63</v>
      </c>
      <c r="D4" s="263"/>
      <c r="E4" s="289" t="s">
        <v>143</v>
      </c>
      <c r="F4" s="289" t="s">
        <v>64</v>
      </c>
      <c r="G4" s="283" t="s">
        <v>142</v>
      </c>
      <c r="H4" s="284"/>
      <c r="I4" s="283" t="s">
        <v>116</v>
      </c>
      <c r="J4" s="284"/>
      <c r="K4" s="272" t="s">
        <v>132</v>
      </c>
      <c r="L4" s="273"/>
      <c r="M4" s="37"/>
      <c r="N4" s="37"/>
      <c r="O4" s="269" t="s">
        <v>133</v>
      </c>
      <c r="P4" s="269"/>
    </row>
    <row r="5" spans="1:16" s="38" customFormat="1" ht="67.5" customHeight="1">
      <c r="A5" s="292"/>
      <c r="B5" s="294"/>
      <c r="C5" s="40" t="s">
        <v>65</v>
      </c>
      <c r="D5" s="40" t="s">
        <v>66</v>
      </c>
      <c r="E5" s="264"/>
      <c r="F5" s="290"/>
      <c r="G5" s="285"/>
      <c r="H5" s="286"/>
      <c r="I5" s="285"/>
      <c r="J5" s="286"/>
      <c r="K5" s="36" t="s">
        <v>4</v>
      </c>
      <c r="L5" s="36" t="s">
        <v>117</v>
      </c>
      <c r="M5" s="36" t="s">
        <v>67</v>
      </c>
      <c r="N5" s="36" t="s">
        <v>68</v>
      </c>
      <c r="O5" s="36" t="s">
        <v>4</v>
      </c>
      <c r="P5" s="36" t="s">
        <v>117</v>
      </c>
    </row>
    <row r="6" spans="1:16" ht="16.5" customHeight="1">
      <c r="A6" s="39">
        <v>1</v>
      </c>
      <c r="B6" s="1">
        <v>2</v>
      </c>
      <c r="C6" s="1">
        <v>3</v>
      </c>
      <c r="D6" s="1">
        <v>4</v>
      </c>
      <c r="E6" s="2">
        <v>3</v>
      </c>
      <c r="F6" s="2">
        <v>4</v>
      </c>
      <c r="G6" s="1">
        <v>4</v>
      </c>
      <c r="H6" s="1">
        <v>6</v>
      </c>
      <c r="I6" s="2">
        <v>5</v>
      </c>
      <c r="J6" s="3">
        <v>8</v>
      </c>
      <c r="K6" s="2">
        <v>6</v>
      </c>
      <c r="L6" s="2">
        <v>7</v>
      </c>
      <c r="O6" s="2">
        <v>8</v>
      </c>
      <c r="P6" s="2">
        <v>9</v>
      </c>
    </row>
    <row r="7" spans="1:16" ht="30" customHeight="1">
      <c r="A7" s="270" t="s">
        <v>69</v>
      </c>
      <c r="B7" s="271"/>
      <c r="C7" s="42"/>
      <c r="D7" s="42"/>
      <c r="E7" s="104">
        <f aca="true" t="shared" si="0" ref="E7:J7">SUM(E8:E10)</f>
        <v>5619.7</v>
      </c>
      <c r="F7" s="104">
        <f t="shared" si="0"/>
        <v>0</v>
      </c>
      <c r="G7" s="104">
        <f t="shared" si="0"/>
        <v>6912.4</v>
      </c>
      <c r="H7" s="104">
        <f t="shared" si="0"/>
        <v>0</v>
      </c>
      <c r="I7" s="104">
        <f t="shared" si="0"/>
        <v>7900.2</v>
      </c>
      <c r="J7" s="104">
        <f t="shared" si="0"/>
        <v>7033.3</v>
      </c>
      <c r="K7" s="122">
        <f>I7/E7*100</f>
        <v>140.5804580315675</v>
      </c>
      <c r="L7" s="122">
        <f>I7/G7*100</f>
        <v>114.29026098026736</v>
      </c>
      <c r="M7" s="123"/>
      <c r="N7" s="123"/>
      <c r="O7" s="124">
        <f>I7-E7</f>
        <v>2280.5</v>
      </c>
      <c r="P7" s="124">
        <f aca="true" t="shared" si="1" ref="P7:P39">I7-G7</f>
        <v>987.8000000000002</v>
      </c>
    </row>
    <row r="8" spans="1:16" ht="68.25" customHeight="1">
      <c r="A8" s="44" t="s">
        <v>119</v>
      </c>
      <c r="B8" s="145" t="s">
        <v>128</v>
      </c>
      <c r="C8" s="46"/>
      <c r="D8" s="46"/>
      <c r="E8" s="105">
        <v>5617.6</v>
      </c>
      <c r="F8" s="105"/>
      <c r="G8" s="105">
        <v>6909</v>
      </c>
      <c r="H8" s="121"/>
      <c r="I8" s="105">
        <v>7896.8</v>
      </c>
      <c r="J8" s="121">
        <v>6996.6</v>
      </c>
      <c r="K8" s="125">
        <f>I8/E8*100</f>
        <v>140.57248647109083</v>
      </c>
      <c r="L8" s="125">
        <f>I8/G8*100</f>
        <v>114.29729338543927</v>
      </c>
      <c r="M8" s="126"/>
      <c r="N8" s="126"/>
      <c r="O8" s="127">
        <f>I8-E8</f>
        <v>2279.2</v>
      </c>
      <c r="P8" s="127">
        <f t="shared" si="1"/>
        <v>987.8000000000002</v>
      </c>
    </row>
    <row r="9" spans="1:16" ht="49.5" customHeight="1">
      <c r="A9" s="44" t="s">
        <v>120</v>
      </c>
      <c r="B9" s="145" t="s">
        <v>10</v>
      </c>
      <c r="C9" s="46"/>
      <c r="D9" s="46"/>
      <c r="E9" s="105">
        <v>1.4</v>
      </c>
      <c r="F9" s="105"/>
      <c r="G9" s="105">
        <v>0.7</v>
      </c>
      <c r="H9" s="121"/>
      <c r="I9" s="105">
        <v>0.7</v>
      </c>
      <c r="J9" s="121">
        <v>1</v>
      </c>
      <c r="K9" s="125">
        <f>I9/E9*100</f>
        <v>50</v>
      </c>
      <c r="L9" s="125">
        <f>I9/G9*100</f>
        <v>100</v>
      </c>
      <c r="M9" s="126"/>
      <c r="N9" s="126"/>
      <c r="O9" s="127">
        <f>I9-E9</f>
        <v>-0.7</v>
      </c>
      <c r="P9" s="127">
        <f t="shared" si="1"/>
        <v>0</v>
      </c>
    </row>
    <row r="10" spans="1:16" ht="21.75" customHeight="1">
      <c r="A10" s="44" t="s">
        <v>121</v>
      </c>
      <c r="B10" s="146" t="s">
        <v>11</v>
      </c>
      <c r="C10" s="46"/>
      <c r="D10" s="50"/>
      <c r="E10" s="105">
        <v>0.7</v>
      </c>
      <c r="F10" s="106"/>
      <c r="G10" s="106">
        <v>2.7</v>
      </c>
      <c r="H10" s="121"/>
      <c r="I10" s="105">
        <v>2.7</v>
      </c>
      <c r="J10" s="121">
        <v>35.7</v>
      </c>
      <c r="K10" s="125">
        <f>I10/E10*100</f>
        <v>385.7142857142858</v>
      </c>
      <c r="L10" s="125">
        <f>I10/G10*100</f>
        <v>100</v>
      </c>
      <c r="M10" s="126"/>
      <c r="N10" s="126"/>
      <c r="O10" s="127">
        <f>I10-E10</f>
        <v>2</v>
      </c>
      <c r="P10" s="127">
        <f t="shared" si="1"/>
        <v>0</v>
      </c>
    </row>
    <row r="11" spans="1:16" ht="31.5" customHeight="1">
      <c r="A11" s="270" t="s">
        <v>131</v>
      </c>
      <c r="B11" s="271"/>
      <c r="C11" s="52"/>
      <c r="D11" s="52"/>
      <c r="E11" s="107">
        <f>E12+E13+E15+E20+E21+E22+E23+E14+E24</f>
        <v>829.9000000000001</v>
      </c>
      <c r="F11" s="107">
        <f>F12+F13+F15+F20+F21+F22+F23+F14+F24</f>
        <v>0</v>
      </c>
      <c r="G11" s="107">
        <f>G12+G13+G15+G20+G21+G22+G23+G14+G24+G19</f>
        <v>1201.3</v>
      </c>
      <c r="H11" s="107">
        <f>H12+H13+H15+H20+H21+H22+H23+H14+H24+H19</f>
        <v>0</v>
      </c>
      <c r="I11" s="107">
        <f>I12+I13+I15+I20+I21+I22+I23+I14+I24+I19</f>
        <v>1303.4999999999998</v>
      </c>
      <c r="J11" s="107">
        <f>J12+J13+J15+J20+J21+J22+J23+J14+J24</f>
        <v>778.3000000000001</v>
      </c>
      <c r="K11" s="122">
        <f aca="true" t="shared" si="2" ref="K11:K39">I11/E11*100</f>
        <v>157.06711652006263</v>
      </c>
      <c r="L11" s="122">
        <f aca="true" t="shared" si="3" ref="L11:L39">I11/G11*100</f>
        <v>108.50745026221591</v>
      </c>
      <c r="M11" s="123"/>
      <c r="N11" s="123"/>
      <c r="O11" s="124">
        <f aca="true" t="shared" si="4" ref="O11:O39">I11-E11</f>
        <v>473.5999999999997</v>
      </c>
      <c r="P11" s="124">
        <f t="shared" si="1"/>
        <v>102.19999999999982</v>
      </c>
    </row>
    <row r="12" spans="1:16" ht="45" customHeight="1">
      <c r="A12" s="54" t="s">
        <v>122</v>
      </c>
      <c r="B12" s="148" t="s">
        <v>16</v>
      </c>
      <c r="C12" s="56"/>
      <c r="D12" s="56"/>
      <c r="E12" s="105">
        <v>0.7</v>
      </c>
      <c r="F12" s="108"/>
      <c r="G12" s="108">
        <v>0</v>
      </c>
      <c r="H12" s="121"/>
      <c r="I12" s="105">
        <v>0</v>
      </c>
      <c r="J12" s="121">
        <v>0.2</v>
      </c>
      <c r="K12" s="125">
        <f t="shared" si="2"/>
        <v>0</v>
      </c>
      <c r="L12" s="125" t="e">
        <f t="shared" si="3"/>
        <v>#DIV/0!</v>
      </c>
      <c r="M12" s="126"/>
      <c r="N12" s="126"/>
      <c r="O12" s="127">
        <f t="shared" si="4"/>
        <v>-0.7</v>
      </c>
      <c r="P12" s="127">
        <f t="shared" si="1"/>
        <v>0</v>
      </c>
    </row>
    <row r="13" spans="1:16" ht="23.25" customHeight="1">
      <c r="A13" s="54" t="s">
        <v>123</v>
      </c>
      <c r="B13" s="149" t="s">
        <v>17</v>
      </c>
      <c r="C13" s="56"/>
      <c r="D13" s="56"/>
      <c r="E13" s="105">
        <v>655.4</v>
      </c>
      <c r="F13" s="108"/>
      <c r="G13" s="108">
        <v>1116.8</v>
      </c>
      <c r="H13" s="121"/>
      <c r="I13" s="105">
        <v>1200.4</v>
      </c>
      <c r="J13" s="121">
        <v>633.5</v>
      </c>
      <c r="K13" s="125">
        <f t="shared" si="2"/>
        <v>183.15532499237108</v>
      </c>
      <c r="L13" s="125">
        <f t="shared" si="3"/>
        <v>107.48567335243555</v>
      </c>
      <c r="M13" s="126"/>
      <c r="N13" s="126"/>
      <c r="O13" s="127">
        <f t="shared" si="4"/>
        <v>545.0000000000001</v>
      </c>
      <c r="P13" s="127">
        <f t="shared" si="1"/>
        <v>83.60000000000014</v>
      </c>
    </row>
    <row r="14" spans="1:16" ht="23.25" customHeight="1">
      <c r="A14" s="54" t="s">
        <v>139</v>
      </c>
      <c r="B14" s="149" t="s">
        <v>129</v>
      </c>
      <c r="C14" s="56"/>
      <c r="D14" s="56"/>
      <c r="E14" s="105">
        <v>39.7</v>
      </c>
      <c r="F14" s="108"/>
      <c r="G14" s="108">
        <v>0</v>
      </c>
      <c r="H14" s="121"/>
      <c r="I14" s="105">
        <v>0</v>
      </c>
      <c r="J14" s="121"/>
      <c r="K14" s="125">
        <f t="shared" si="2"/>
        <v>0</v>
      </c>
      <c r="L14" s="125" t="e">
        <f t="shared" si="3"/>
        <v>#DIV/0!</v>
      </c>
      <c r="M14" s="126"/>
      <c r="N14" s="126"/>
      <c r="O14" s="127">
        <f t="shared" si="4"/>
        <v>-39.7</v>
      </c>
      <c r="P14" s="127">
        <f t="shared" si="1"/>
        <v>0</v>
      </c>
    </row>
    <row r="15" spans="1:16" ht="24" customHeight="1">
      <c r="A15" s="54" t="s">
        <v>124</v>
      </c>
      <c r="B15" s="149" t="s">
        <v>129</v>
      </c>
      <c r="C15" s="56"/>
      <c r="D15" s="56"/>
      <c r="E15" s="105">
        <f>SUM(E16:E18)</f>
        <v>17.9</v>
      </c>
      <c r="F15" s="105">
        <f>SUM(F16:F18)</f>
        <v>0</v>
      </c>
      <c r="G15" s="105">
        <f>SUM(G16:G18)</f>
        <v>21.8</v>
      </c>
      <c r="H15" s="105">
        <f>SUM(H16:H18)</f>
        <v>0</v>
      </c>
      <c r="I15" s="105">
        <f>SUM(I16:I18)</f>
        <v>24.1</v>
      </c>
      <c r="J15" s="121">
        <v>72</v>
      </c>
      <c r="K15" s="125">
        <f t="shared" si="2"/>
        <v>134.6368715083799</v>
      </c>
      <c r="L15" s="125">
        <f t="shared" si="3"/>
        <v>110.55045871559632</v>
      </c>
      <c r="M15" s="126"/>
      <c r="N15" s="126"/>
      <c r="O15" s="127">
        <f t="shared" si="4"/>
        <v>6.200000000000003</v>
      </c>
      <c r="P15" s="127">
        <f t="shared" si="1"/>
        <v>2.3000000000000007</v>
      </c>
    </row>
    <row r="16" spans="1:16" ht="19.5">
      <c r="A16" s="15">
        <v>18020000</v>
      </c>
      <c r="B16" s="16" t="s">
        <v>19</v>
      </c>
      <c r="C16" s="56"/>
      <c r="D16" s="56"/>
      <c r="E16" s="105">
        <v>0</v>
      </c>
      <c r="F16" s="108"/>
      <c r="G16" s="108">
        <v>0</v>
      </c>
      <c r="H16" s="121"/>
      <c r="I16" s="105">
        <v>0</v>
      </c>
      <c r="J16" s="121"/>
      <c r="K16" s="125" t="e">
        <f t="shared" si="2"/>
        <v>#DIV/0!</v>
      </c>
      <c r="L16" s="125" t="e">
        <f>I16/G16*100</f>
        <v>#DIV/0!</v>
      </c>
      <c r="M16" s="126"/>
      <c r="N16" s="126"/>
      <c r="O16" s="127">
        <f>I16-E16</f>
        <v>0</v>
      </c>
      <c r="P16" s="127">
        <f>I16-G16</f>
        <v>0</v>
      </c>
    </row>
    <row r="17" spans="1:16" ht="19.5">
      <c r="A17" s="15">
        <v>18030000</v>
      </c>
      <c r="B17" s="16" t="s">
        <v>20</v>
      </c>
      <c r="C17" s="56"/>
      <c r="D17" s="56"/>
      <c r="E17" s="105">
        <v>0</v>
      </c>
      <c r="F17" s="108"/>
      <c r="G17" s="108">
        <v>0.1</v>
      </c>
      <c r="H17" s="121"/>
      <c r="I17" s="105">
        <v>0.8</v>
      </c>
      <c r="J17" s="121"/>
      <c r="K17" s="125" t="e">
        <f t="shared" si="2"/>
        <v>#DIV/0!</v>
      </c>
      <c r="L17" s="125">
        <f>I17/G17*100</f>
        <v>800</v>
      </c>
      <c r="M17" s="126"/>
      <c r="N17" s="126"/>
      <c r="O17" s="127">
        <f>I17-E17</f>
        <v>0.8</v>
      </c>
      <c r="P17" s="127">
        <f>I17-G17</f>
        <v>0.7000000000000001</v>
      </c>
    </row>
    <row r="18" spans="1:16" ht="30" customHeight="1">
      <c r="A18" s="15">
        <v>18040000</v>
      </c>
      <c r="B18" s="17" t="s">
        <v>21</v>
      </c>
      <c r="C18" s="56"/>
      <c r="D18" s="56"/>
      <c r="E18" s="105">
        <v>17.9</v>
      </c>
      <c r="F18" s="108"/>
      <c r="G18" s="108">
        <v>21.7</v>
      </c>
      <c r="H18" s="121"/>
      <c r="I18" s="105">
        <v>23.3</v>
      </c>
      <c r="J18" s="121"/>
      <c r="K18" s="125">
        <f t="shared" si="2"/>
        <v>130.16759776536315</v>
      </c>
      <c r="L18" s="125">
        <f>I18/G18*100</f>
        <v>107.37327188940094</v>
      </c>
      <c r="M18" s="126"/>
      <c r="N18" s="126"/>
      <c r="O18" s="127">
        <f>I18-E18</f>
        <v>5.400000000000002</v>
      </c>
      <c r="P18" s="127">
        <f>I18-G18</f>
        <v>1.6000000000000014</v>
      </c>
    </row>
    <row r="19" spans="1:16" ht="30" customHeight="1">
      <c r="A19" s="169">
        <v>19040100</v>
      </c>
      <c r="B19" s="145" t="s">
        <v>41</v>
      </c>
      <c r="C19" s="56"/>
      <c r="D19" s="56"/>
      <c r="E19" s="105">
        <v>0</v>
      </c>
      <c r="F19" s="108"/>
      <c r="G19" s="108">
        <v>0</v>
      </c>
      <c r="H19" s="121"/>
      <c r="I19" s="105">
        <v>0.1</v>
      </c>
      <c r="J19" s="121"/>
      <c r="K19" s="125" t="e">
        <f>I19/E19*100</f>
        <v>#DIV/0!</v>
      </c>
      <c r="L19" s="125" t="e">
        <f>I19/G19*100</f>
        <v>#DIV/0!</v>
      </c>
      <c r="M19" s="126"/>
      <c r="N19" s="126"/>
      <c r="O19" s="127">
        <f>I19-E19</f>
        <v>0.1</v>
      </c>
      <c r="P19" s="127">
        <f>I19-G19</f>
        <v>0.1</v>
      </c>
    </row>
    <row r="20" spans="1:16" ht="51" customHeight="1">
      <c r="A20" s="152" t="s">
        <v>118</v>
      </c>
      <c r="B20" s="147" t="s">
        <v>23</v>
      </c>
      <c r="C20" s="56"/>
      <c r="D20" s="56"/>
      <c r="E20" s="105">
        <v>56.2</v>
      </c>
      <c r="F20" s="108"/>
      <c r="G20" s="108">
        <v>59.7</v>
      </c>
      <c r="H20" s="121"/>
      <c r="I20" s="105">
        <v>61.3</v>
      </c>
      <c r="J20" s="121">
        <v>72</v>
      </c>
      <c r="K20" s="125">
        <f>I20/E20*100</f>
        <v>109.0747330960854</v>
      </c>
      <c r="L20" s="125">
        <f>I20/G20*100</f>
        <v>102.68006700167503</v>
      </c>
      <c r="M20" s="126"/>
      <c r="N20" s="126"/>
      <c r="O20" s="127">
        <f>I20-E20</f>
        <v>5.099999999999994</v>
      </c>
      <c r="P20" s="127">
        <f t="shared" si="1"/>
        <v>1.5999999999999943</v>
      </c>
    </row>
    <row r="21" spans="1:16" ht="50.25" customHeight="1">
      <c r="A21" s="153" t="s">
        <v>134</v>
      </c>
      <c r="B21" s="150" t="s">
        <v>28</v>
      </c>
      <c r="C21" s="56"/>
      <c r="D21" s="56"/>
      <c r="E21" s="108">
        <f>0.1+13.3</f>
        <v>13.4</v>
      </c>
      <c r="F21" s="108"/>
      <c r="G21" s="108">
        <v>0</v>
      </c>
      <c r="H21" s="121"/>
      <c r="I21" s="109">
        <v>14.7</v>
      </c>
      <c r="J21" s="121">
        <v>0.2</v>
      </c>
      <c r="K21" s="125">
        <f t="shared" si="2"/>
        <v>109.70149253731343</v>
      </c>
      <c r="L21" s="125" t="e">
        <f t="shared" si="3"/>
        <v>#DIV/0!</v>
      </c>
      <c r="M21" s="126"/>
      <c r="N21" s="126"/>
      <c r="O21" s="127">
        <f t="shared" si="4"/>
        <v>1.299999999999999</v>
      </c>
      <c r="P21" s="127">
        <f t="shared" si="1"/>
        <v>14.7</v>
      </c>
    </row>
    <row r="22" spans="1:16" ht="50.25" customHeight="1">
      <c r="A22" s="153" t="s">
        <v>138</v>
      </c>
      <c r="B22" s="150" t="s">
        <v>130</v>
      </c>
      <c r="C22" s="56"/>
      <c r="D22" s="56"/>
      <c r="E22" s="108">
        <v>5</v>
      </c>
      <c r="F22" s="108"/>
      <c r="G22" s="108">
        <v>0</v>
      </c>
      <c r="H22" s="121"/>
      <c r="I22" s="109">
        <v>-0.4</v>
      </c>
      <c r="J22" s="121"/>
      <c r="K22" s="125">
        <f t="shared" si="2"/>
        <v>-8</v>
      </c>
      <c r="L22" s="125" t="e">
        <f t="shared" si="3"/>
        <v>#DIV/0!</v>
      </c>
      <c r="M22" s="126"/>
      <c r="N22" s="126"/>
      <c r="O22" s="127">
        <f t="shared" si="4"/>
        <v>-5.4</v>
      </c>
      <c r="P22" s="127">
        <f t="shared" si="1"/>
        <v>-0.4</v>
      </c>
    </row>
    <row r="23" spans="1:16" ht="27.75" customHeight="1">
      <c r="A23" s="153" t="s">
        <v>24</v>
      </c>
      <c r="B23" s="151" t="s">
        <v>25</v>
      </c>
      <c r="C23" s="46"/>
      <c r="D23" s="50"/>
      <c r="E23" s="105">
        <v>0.4</v>
      </c>
      <c r="F23" s="106"/>
      <c r="G23" s="106">
        <v>3</v>
      </c>
      <c r="H23" s="121"/>
      <c r="I23" s="105">
        <v>3.3</v>
      </c>
      <c r="J23" s="121">
        <v>0.4</v>
      </c>
      <c r="K23" s="125">
        <f>I23/E23*100</f>
        <v>824.9999999999998</v>
      </c>
      <c r="L23" s="125">
        <f>I23/G23*100</f>
        <v>109.99999999999999</v>
      </c>
      <c r="M23" s="126"/>
      <c r="N23" s="126"/>
      <c r="O23" s="127">
        <f>I23-E23</f>
        <v>2.9</v>
      </c>
      <c r="P23" s="127">
        <f>I23-G23</f>
        <v>0.2999999999999998</v>
      </c>
    </row>
    <row r="24" spans="1:16" ht="39.75" customHeight="1">
      <c r="A24" s="164" t="s">
        <v>140</v>
      </c>
      <c r="B24" s="45" t="s">
        <v>141</v>
      </c>
      <c r="C24" s="165"/>
      <c r="D24" s="166"/>
      <c r="E24" s="108">
        <v>41.2</v>
      </c>
      <c r="F24" s="167"/>
      <c r="G24" s="167">
        <v>0</v>
      </c>
      <c r="H24" s="168"/>
      <c r="I24" s="108">
        <v>0</v>
      </c>
      <c r="J24" s="168"/>
      <c r="K24" s="125">
        <f>I24/E24*100</f>
        <v>0</v>
      </c>
      <c r="L24" s="125" t="e">
        <f>I24/G24*100</f>
        <v>#DIV/0!</v>
      </c>
      <c r="M24" s="126"/>
      <c r="N24" s="126"/>
      <c r="O24" s="127">
        <f>I24-E24</f>
        <v>-41.2</v>
      </c>
      <c r="P24" s="127">
        <f>I24-G24</f>
        <v>0</v>
      </c>
    </row>
    <row r="25" spans="1:16" ht="33.75" customHeight="1">
      <c r="A25" s="275" t="s">
        <v>82</v>
      </c>
      <c r="B25" s="276"/>
      <c r="C25" s="60"/>
      <c r="D25" s="60"/>
      <c r="E25" s="110">
        <f aca="true" t="shared" si="5" ref="E25:J25">E7+E11</f>
        <v>6449.6</v>
      </c>
      <c r="F25" s="110">
        <f t="shared" si="5"/>
        <v>0</v>
      </c>
      <c r="G25" s="110">
        <f t="shared" si="5"/>
        <v>8113.7</v>
      </c>
      <c r="H25" s="110">
        <f t="shared" si="5"/>
        <v>0</v>
      </c>
      <c r="I25" s="110">
        <f t="shared" si="5"/>
        <v>9203.699999999999</v>
      </c>
      <c r="J25" s="110">
        <f t="shared" si="5"/>
        <v>7811.6</v>
      </c>
      <c r="K25" s="128">
        <f t="shared" si="2"/>
        <v>142.70187298437108</v>
      </c>
      <c r="L25" s="128">
        <f t="shared" si="3"/>
        <v>113.43406830422617</v>
      </c>
      <c r="M25" s="129"/>
      <c r="N25" s="129"/>
      <c r="O25" s="130">
        <f t="shared" si="4"/>
        <v>2754.0999999999985</v>
      </c>
      <c r="P25" s="131">
        <f t="shared" si="1"/>
        <v>1089.999999999999</v>
      </c>
    </row>
    <row r="26" spans="1:16" ht="39" customHeight="1">
      <c r="A26" s="140">
        <v>41030000</v>
      </c>
      <c r="B26" s="63" t="s">
        <v>83</v>
      </c>
      <c r="C26" s="64"/>
      <c r="D26" s="65"/>
      <c r="E26" s="111">
        <v>1450</v>
      </c>
      <c r="F26" s="112"/>
      <c r="G26" s="112">
        <v>2204.8</v>
      </c>
      <c r="H26" s="121"/>
      <c r="I26" s="111">
        <v>2128.3</v>
      </c>
      <c r="J26" s="121">
        <v>2850</v>
      </c>
      <c r="K26" s="125">
        <f t="shared" si="2"/>
        <v>146.7793103448276</v>
      </c>
      <c r="L26" s="125">
        <f t="shared" si="3"/>
        <v>96.53029753265602</v>
      </c>
      <c r="M26" s="132"/>
      <c r="N26" s="132"/>
      <c r="O26" s="127">
        <f t="shared" si="4"/>
        <v>678.3000000000002</v>
      </c>
      <c r="P26" s="127">
        <f t="shared" si="1"/>
        <v>-76.5</v>
      </c>
    </row>
    <row r="27" spans="1:16" ht="54" customHeight="1">
      <c r="A27" s="277" t="s">
        <v>137</v>
      </c>
      <c r="B27" s="278"/>
      <c r="C27" s="68"/>
      <c r="D27" s="69"/>
      <c r="E27" s="113">
        <f aca="true" t="shared" si="6" ref="E27:J27">E25+E26</f>
        <v>7899.6</v>
      </c>
      <c r="F27" s="113">
        <f t="shared" si="6"/>
        <v>0</v>
      </c>
      <c r="G27" s="113">
        <f t="shared" si="6"/>
        <v>10318.5</v>
      </c>
      <c r="H27" s="113">
        <f t="shared" si="6"/>
        <v>0</v>
      </c>
      <c r="I27" s="113">
        <f t="shared" si="6"/>
        <v>11332</v>
      </c>
      <c r="J27" s="113">
        <f t="shared" si="6"/>
        <v>10661.6</v>
      </c>
      <c r="K27" s="133">
        <f t="shared" si="2"/>
        <v>143.45030128107751</v>
      </c>
      <c r="L27" s="133">
        <f t="shared" si="3"/>
        <v>109.8221640742356</v>
      </c>
      <c r="M27" s="134"/>
      <c r="N27" s="134"/>
      <c r="O27" s="135">
        <f t="shared" si="4"/>
        <v>3432.3999999999996</v>
      </c>
      <c r="P27" s="135">
        <f t="shared" si="1"/>
        <v>1013.5</v>
      </c>
    </row>
    <row r="28" spans="1:16" ht="28.5" customHeight="1">
      <c r="A28" s="279" t="s">
        <v>85</v>
      </c>
      <c r="B28" s="280"/>
      <c r="C28" s="72"/>
      <c r="D28" s="73"/>
      <c r="E28" s="114">
        <f aca="true" t="shared" si="7" ref="E28:J28">SUM(E29:E35)</f>
        <v>520.7</v>
      </c>
      <c r="F28" s="114">
        <f t="shared" si="7"/>
        <v>0</v>
      </c>
      <c r="G28" s="114">
        <f t="shared" si="7"/>
        <v>433.29999999999995</v>
      </c>
      <c r="H28" s="114">
        <f t="shared" si="7"/>
        <v>0</v>
      </c>
      <c r="I28" s="114">
        <f t="shared" si="7"/>
        <v>589.2</v>
      </c>
      <c r="J28" s="114">
        <f t="shared" si="7"/>
        <v>645.7</v>
      </c>
      <c r="K28" s="128">
        <f t="shared" si="2"/>
        <v>113.15536777415018</v>
      </c>
      <c r="L28" s="128">
        <f t="shared" si="3"/>
        <v>135.97969074544199</v>
      </c>
      <c r="M28" s="136"/>
      <c r="N28" s="136"/>
      <c r="O28" s="131">
        <f t="shared" si="4"/>
        <v>68.5</v>
      </c>
      <c r="P28" s="131">
        <f t="shared" si="1"/>
        <v>155.9000000000001</v>
      </c>
    </row>
    <row r="29" spans="1:16" ht="30">
      <c r="A29" s="142">
        <v>12000000</v>
      </c>
      <c r="B29" s="145" t="s">
        <v>38</v>
      </c>
      <c r="C29" s="64"/>
      <c r="D29" s="77"/>
      <c r="E29" s="112">
        <v>73.1</v>
      </c>
      <c r="F29" s="111"/>
      <c r="G29" s="111">
        <v>0.6</v>
      </c>
      <c r="H29" s="121"/>
      <c r="I29" s="112">
        <v>14</v>
      </c>
      <c r="J29" s="121">
        <v>39.7</v>
      </c>
      <c r="K29" s="125">
        <f t="shared" si="2"/>
        <v>19.15184678522572</v>
      </c>
      <c r="L29" s="125">
        <f t="shared" si="3"/>
        <v>2333.3333333333335</v>
      </c>
      <c r="M29" s="137"/>
      <c r="N29" s="137"/>
      <c r="O29" s="127">
        <f t="shared" si="4"/>
        <v>-59.099999999999994</v>
      </c>
      <c r="P29" s="127">
        <f t="shared" si="1"/>
        <v>13.4</v>
      </c>
    </row>
    <row r="30" spans="1:16" ht="90">
      <c r="A30" s="141">
        <v>18041500</v>
      </c>
      <c r="B30" s="145" t="s">
        <v>40</v>
      </c>
      <c r="C30" s="64"/>
      <c r="D30" s="65"/>
      <c r="E30" s="112">
        <v>0</v>
      </c>
      <c r="F30" s="116"/>
      <c r="G30" s="116">
        <v>2.3</v>
      </c>
      <c r="H30" s="121"/>
      <c r="I30" s="112">
        <v>7.9</v>
      </c>
      <c r="J30" s="121"/>
      <c r="K30" s="125" t="e">
        <f>I30/E30*100</f>
        <v>#DIV/0!</v>
      </c>
      <c r="L30" s="125">
        <f>I30/G30*100</f>
        <v>343.4782608695653</v>
      </c>
      <c r="M30" s="137"/>
      <c r="N30" s="137"/>
      <c r="O30" s="127">
        <f>I30-E30</f>
        <v>7.9</v>
      </c>
      <c r="P30" s="127">
        <f>I30-G30</f>
        <v>5.6000000000000005</v>
      </c>
    </row>
    <row r="31" spans="1:16" ht="19.5">
      <c r="A31" s="44" t="s">
        <v>125</v>
      </c>
      <c r="B31" s="145" t="s">
        <v>44</v>
      </c>
      <c r="C31" s="46"/>
      <c r="D31" s="50"/>
      <c r="E31" s="105">
        <v>134.7</v>
      </c>
      <c r="F31" s="106"/>
      <c r="G31" s="106">
        <v>133</v>
      </c>
      <c r="H31" s="121"/>
      <c r="I31" s="105">
        <v>120.8</v>
      </c>
      <c r="J31" s="121">
        <v>155.6</v>
      </c>
      <c r="K31" s="125">
        <f>I31/E31*100</f>
        <v>89.6807720861173</v>
      </c>
      <c r="L31" s="125">
        <f>I31/G31*100</f>
        <v>90.82706766917293</v>
      </c>
      <c r="M31" s="137"/>
      <c r="N31" s="137"/>
      <c r="O31" s="127">
        <f>I31-E31</f>
        <v>-13.899999999999991</v>
      </c>
      <c r="P31" s="127">
        <f>I31-G31</f>
        <v>-12.200000000000003</v>
      </c>
    </row>
    <row r="32" spans="1:16" ht="15.75">
      <c r="A32" s="141" t="s">
        <v>127</v>
      </c>
      <c r="B32" s="145" t="s">
        <v>42</v>
      </c>
      <c r="C32" s="64"/>
      <c r="D32" s="65"/>
      <c r="E32" s="112">
        <v>0</v>
      </c>
      <c r="F32" s="143"/>
      <c r="G32" s="144">
        <v>0</v>
      </c>
      <c r="H32" s="121"/>
      <c r="I32" s="112">
        <v>0.1</v>
      </c>
      <c r="J32" s="121"/>
      <c r="K32" s="125" t="e">
        <f>I32/E32*100</f>
        <v>#DIV/0!</v>
      </c>
      <c r="L32" s="125" t="e">
        <f>I32/G32*100</f>
        <v>#DIV/0!</v>
      </c>
      <c r="M32" s="137"/>
      <c r="N32" s="137"/>
      <c r="O32" s="127">
        <f>I32-E32</f>
        <v>0.1</v>
      </c>
      <c r="P32" s="127">
        <f>I32-G32</f>
        <v>0.1</v>
      </c>
    </row>
    <row r="33" spans="1:16" ht="33.75" customHeight="1">
      <c r="A33" s="141">
        <v>19050000</v>
      </c>
      <c r="B33" s="145" t="s">
        <v>43</v>
      </c>
      <c r="C33" s="64"/>
      <c r="D33" s="65"/>
      <c r="E33" s="112">
        <v>1.5</v>
      </c>
      <c r="F33" s="116"/>
      <c r="G33" s="116">
        <v>0</v>
      </c>
      <c r="H33" s="121"/>
      <c r="I33" s="112">
        <v>0</v>
      </c>
      <c r="J33" s="121">
        <v>0.9</v>
      </c>
      <c r="K33" s="125">
        <f>I33/E33*100</f>
        <v>0</v>
      </c>
      <c r="L33" s="125" t="e">
        <f>I33/G33*100</f>
        <v>#DIV/0!</v>
      </c>
      <c r="M33" s="137"/>
      <c r="N33" s="137"/>
      <c r="O33" s="127">
        <f>I33-E33</f>
        <v>-1.5</v>
      </c>
      <c r="P33" s="127">
        <f>I33-G33</f>
        <v>0</v>
      </c>
    </row>
    <row r="34" spans="1:16" ht="30">
      <c r="A34" s="141">
        <v>25000000</v>
      </c>
      <c r="B34" s="148" t="s">
        <v>51</v>
      </c>
      <c r="C34" s="64"/>
      <c r="D34" s="65"/>
      <c r="E34" s="112">
        <v>310.3</v>
      </c>
      <c r="F34" s="115"/>
      <c r="G34" s="112">
        <v>297.4</v>
      </c>
      <c r="H34" s="121"/>
      <c r="I34" s="112">
        <v>442.7</v>
      </c>
      <c r="J34" s="121">
        <v>436.6</v>
      </c>
      <c r="K34" s="125">
        <f>I34/E34*100</f>
        <v>142.66838543345148</v>
      </c>
      <c r="L34" s="125">
        <f>I34/G34*100</f>
        <v>148.8567585743107</v>
      </c>
      <c r="M34" s="137"/>
      <c r="N34" s="137"/>
      <c r="O34" s="127">
        <f>I34-E34</f>
        <v>132.39999999999998</v>
      </c>
      <c r="P34" s="127">
        <f>I34-G34</f>
        <v>145.3</v>
      </c>
    </row>
    <row r="35" spans="1:16" ht="24.75" customHeight="1">
      <c r="A35" s="141" t="s">
        <v>126</v>
      </c>
      <c r="B35" s="154" t="s">
        <v>135</v>
      </c>
      <c r="C35" s="64"/>
      <c r="D35" s="65"/>
      <c r="E35" s="111">
        <v>1.1</v>
      </c>
      <c r="F35" s="111"/>
      <c r="G35" s="111">
        <v>0</v>
      </c>
      <c r="H35" s="121"/>
      <c r="I35" s="112">
        <v>3.7</v>
      </c>
      <c r="J35" s="121">
        <v>12.9</v>
      </c>
      <c r="K35" s="125">
        <f t="shared" si="2"/>
        <v>336.3636363636363</v>
      </c>
      <c r="L35" s="125" t="e">
        <f t="shared" si="3"/>
        <v>#DIV/0!</v>
      </c>
      <c r="M35" s="137"/>
      <c r="N35" s="137"/>
      <c r="O35" s="127">
        <f t="shared" si="4"/>
        <v>2.6</v>
      </c>
      <c r="P35" s="127">
        <f t="shared" si="1"/>
        <v>3.7</v>
      </c>
    </row>
    <row r="36" spans="1:16" ht="31.5">
      <c r="A36" s="80" t="s">
        <v>136</v>
      </c>
      <c r="B36" s="81" t="s">
        <v>89</v>
      </c>
      <c r="C36" s="64"/>
      <c r="D36" s="65"/>
      <c r="E36" s="117">
        <v>0</v>
      </c>
      <c r="F36" s="117"/>
      <c r="G36" s="117">
        <v>104.6</v>
      </c>
      <c r="H36" s="118">
        <v>340.9</v>
      </c>
      <c r="I36" s="119">
        <v>0</v>
      </c>
      <c r="J36" s="121">
        <v>701.5</v>
      </c>
      <c r="K36" s="125" t="e">
        <f t="shared" si="2"/>
        <v>#DIV/0!</v>
      </c>
      <c r="L36" s="125">
        <f t="shared" si="3"/>
        <v>0</v>
      </c>
      <c r="M36" s="138"/>
      <c r="N36" s="138"/>
      <c r="O36" s="139">
        <f t="shared" si="4"/>
        <v>0</v>
      </c>
      <c r="P36" s="139">
        <f t="shared" si="1"/>
        <v>-104.6</v>
      </c>
    </row>
    <row r="37" spans="1:16" ht="0.75" customHeight="1">
      <c r="A37" s="40">
        <v>430100</v>
      </c>
      <c r="B37" s="85" t="s">
        <v>90</v>
      </c>
      <c r="C37" s="86"/>
      <c r="D37" s="77"/>
      <c r="E37" s="117"/>
      <c r="F37" s="120"/>
      <c r="G37" s="120"/>
      <c r="H37" s="118" t="e">
        <f>G37-#REF!</f>
        <v>#REF!</v>
      </c>
      <c r="I37" s="119">
        <v>0</v>
      </c>
      <c r="J37" s="118" t="e">
        <f>I37-#REF!</f>
        <v>#REF!</v>
      </c>
      <c r="K37" s="125" t="e">
        <f t="shared" si="2"/>
        <v>#DIV/0!</v>
      </c>
      <c r="L37" s="125" t="e">
        <f t="shared" si="3"/>
        <v>#DIV/0!</v>
      </c>
      <c r="M37" s="138"/>
      <c r="N37" s="138"/>
      <c r="O37" s="139">
        <f t="shared" si="4"/>
        <v>0</v>
      </c>
      <c r="P37" s="139">
        <f t="shared" si="1"/>
        <v>0</v>
      </c>
    </row>
    <row r="38" spans="1:19" ht="40.5" customHeight="1">
      <c r="A38" s="277" t="s">
        <v>91</v>
      </c>
      <c r="B38" s="281"/>
      <c r="C38" s="155"/>
      <c r="D38" s="156"/>
      <c r="E38" s="157">
        <f>E28+E36+E37</f>
        <v>520.7</v>
      </c>
      <c r="F38" s="157">
        <f>F28+F36+F37</f>
        <v>0</v>
      </c>
      <c r="G38" s="157">
        <f>G28+G36</f>
        <v>537.9</v>
      </c>
      <c r="H38" s="157">
        <f>H28+H36</f>
        <v>340.9</v>
      </c>
      <c r="I38" s="157">
        <f>I28+I36</f>
        <v>589.2</v>
      </c>
      <c r="J38" s="157" t="e">
        <f>J28+J36+J37</f>
        <v>#REF!</v>
      </c>
      <c r="K38" s="133">
        <f t="shared" si="2"/>
        <v>113.15536777415018</v>
      </c>
      <c r="L38" s="133">
        <f t="shared" si="3"/>
        <v>109.53708867819299</v>
      </c>
      <c r="M38" s="134"/>
      <c r="N38" s="134"/>
      <c r="O38" s="135">
        <f t="shared" si="4"/>
        <v>68.5</v>
      </c>
      <c r="P38" s="135">
        <f t="shared" si="1"/>
        <v>51.30000000000007</v>
      </c>
      <c r="S38" s="49"/>
    </row>
    <row r="39" spans="1:16" ht="57" customHeight="1">
      <c r="A39" s="287" t="s">
        <v>53</v>
      </c>
      <c r="B39" s="288"/>
      <c r="C39" s="158"/>
      <c r="D39" s="159"/>
      <c r="E39" s="160">
        <f aca="true" t="shared" si="8" ref="E39:J39">E27+E38</f>
        <v>8420.300000000001</v>
      </c>
      <c r="F39" s="160">
        <f t="shared" si="8"/>
        <v>0</v>
      </c>
      <c r="G39" s="160">
        <f t="shared" si="8"/>
        <v>10856.4</v>
      </c>
      <c r="H39" s="160">
        <f t="shared" si="8"/>
        <v>340.9</v>
      </c>
      <c r="I39" s="160">
        <f t="shared" si="8"/>
        <v>11921.2</v>
      </c>
      <c r="J39" s="160" t="e">
        <f t="shared" si="8"/>
        <v>#REF!</v>
      </c>
      <c r="K39" s="161">
        <f t="shared" si="2"/>
        <v>141.57690343574455</v>
      </c>
      <c r="L39" s="161">
        <f t="shared" si="3"/>
        <v>109.80803949743931</v>
      </c>
      <c r="M39" s="162"/>
      <c r="N39" s="162"/>
      <c r="O39" s="163">
        <f t="shared" si="4"/>
        <v>3500.8999999999996</v>
      </c>
      <c r="P39" s="163">
        <f t="shared" si="1"/>
        <v>1064.800000000001</v>
      </c>
    </row>
    <row r="40" spans="1:12" ht="32.25" customHeight="1" hidden="1">
      <c r="A40" s="274" t="s">
        <v>92</v>
      </c>
      <c r="B40" s="274"/>
      <c r="C40" s="274"/>
      <c r="D40" s="274"/>
      <c r="E40" s="274"/>
      <c r="F40" s="274"/>
      <c r="G40" s="274"/>
      <c r="H40" s="29"/>
      <c r="K40" s="38" t="s">
        <v>93</v>
      </c>
      <c r="L40" s="38"/>
    </row>
    <row r="41" spans="2:10" ht="15.75">
      <c r="B41" s="38"/>
      <c r="C41" s="38"/>
      <c r="D41" s="38"/>
      <c r="E41" s="38"/>
      <c r="F41" s="38"/>
      <c r="G41" s="38"/>
      <c r="H41" s="38"/>
      <c r="I41" s="99"/>
      <c r="J41" s="99"/>
    </row>
    <row r="42" spans="2:8" ht="15.75">
      <c r="B42" s="38"/>
      <c r="C42" s="38"/>
      <c r="D42" s="38"/>
      <c r="E42" s="38"/>
      <c r="F42" s="38"/>
      <c r="G42" s="38"/>
      <c r="H42" s="38"/>
    </row>
    <row r="43" spans="2:8" ht="15.75">
      <c r="B43" s="38"/>
      <c r="C43" s="38"/>
      <c r="D43" s="38"/>
      <c r="E43" s="38"/>
      <c r="F43" s="38"/>
      <c r="G43" s="38"/>
      <c r="H43" s="38"/>
    </row>
    <row r="44" spans="2:8" ht="15.75">
      <c r="B44" s="38"/>
      <c r="C44" s="38"/>
      <c r="D44" s="38"/>
      <c r="E44" s="38"/>
      <c r="F44" s="38"/>
      <c r="G44" s="38"/>
      <c r="H44" s="38"/>
    </row>
    <row r="45" spans="2:8" ht="15.75">
      <c r="B45" s="38"/>
      <c r="C45" s="38"/>
      <c r="D45" s="38"/>
      <c r="E45" s="38"/>
      <c r="F45" s="38"/>
      <c r="G45" s="38"/>
      <c r="H45" s="38"/>
    </row>
    <row r="46" spans="2:8" ht="15.75">
      <c r="B46" s="38"/>
      <c r="C46" s="38"/>
      <c r="D46" s="38"/>
      <c r="E46" s="38"/>
      <c r="F46" s="38"/>
      <c r="G46" s="38"/>
      <c r="H46" s="38"/>
    </row>
    <row r="47" spans="2:8" ht="15.75">
      <c r="B47" s="38"/>
      <c r="C47" s="38"/>
      <c r="D47" s="38"/>
      <c r="E47" s="38"/>
      <c r="F47" s="38"/>
      <c r="G47" s="38"/>
      <c r="H47" s="38"/>
    </row>
    <row r="48" spans="2:8" ht="15.75">
      <c r="B48" s="38"/>
      <c r="C48" s="38"/>
      <c r="D48" s="38"/>
      <c r="E48" s="38"/>
      <c r="F48" s="38"/>
      <c r="G48" s="38"/>
      <c r="H48" s="38"/>
    </row>
    <row r="49" spans="2:8" ht="15.75">
      <c r="B49" s="38"/>
      <c r="C49" s="38"/>
      <c r="D49" s="38"/>
      <c r="E49" s="38"/>
      <c r="F49" s="38"/>
      <c r="G49" s="38"/>
      <c r="H49" s="38"/>
    </row>
    <row r="50" spans="2:8" ht="15.75">
      <c r="B50" s="38"/>
      <c r="C50" s="38"/>
      <c r="D50" s="38"/>
      <c r="E50" s="38"/>
      <c r="F50" s="38"/>
      <c r="G50" s="38"/>
      <c r="H50" s="38"/>
    </row>
    <row r="51" spans="2:8" ht="15.75">
      <c r="B51" s="38"/>
      <c r="C51" s="38"/>
      <c r="D51" s="38"/>
      <c r="E51" s="38"/>
      <c r="F51" s="38"/>
      <c r="G51" s="38"/>
      <c r="H51" s="38"/>
    </row>
    <row r="52" spans="2:8" ht="15.75">
      <c r="B52" s="38"/>
      <c r="C52" s="38"/>
      <c r="D52" s="38"/>
      <c r="E52" s="38"/>
      <c r="F52" s="38"/>
      <c r="G52" s="38"/>
      <c r="H52" s="38"/>
    </row>
    <row r="53" spans="2:8" ht="15.75">
      <c r="B53" s="38"/>
      <c r="C53" s="38"/>
      <c r="D53" s="38"/>
      <c r="E53" s="38"/>
      <c r="F53" s="38"/>
      <c r="G53" s="38"/>
      <c r="H53" s="38"/>
    </row>
    <row r="54" spans="2:8" ht="15.75">
      <c r="B54" s="38"/>
      <c r="C54" s="38"/>
      <c r="D54" s="38"/>
      <c r="E54" s="38"/>
      <c r="F54" s="38"/>
      <c r="G54" s="38"/>
      <c r="H54" s="38"/>
    </row>
    <row r="55" spans="2:8" ht="15.75">
      <c r="B55" s="38"/>
      <c r="C55" s="38"/>
      <c r="D55" s="38"/>
      <c r="E55" s="38"/>
      <c r="F55" s="38"/>
      <c r="G55" s="38"/>
      <c r="H55" s="38"/>
    </row>
    <row r="56" spans="2:8" ht="15.75">
      <c r="B56" s="38"/>
      <c r="C56" s="38"/>
      <c r="D56" s="38"/>
      <c r="E56" s="38"/>
      <c r="F56" s="38"/>
      <c r="G56" s="38"/>
      <c r="H56" s="38"/>
    </row>
    <row r="57" spans="2:8" ht="15.75">
      <c r="B57" s="38"/>
      <c r="C57" s="38"/>
      <c r="D57" s="38"/>
      <c r="E57" s="38"/>
      <c r="F57" s="38"/>
      <c r="G57" s="38"/>
      <c r="H57" s="38"/>
    </row>
    <row r="58" spans="2:8" ht="15.75">
      <c r="B58" s="38"/>
      <c r="C58" s="38"/>
      <c r="D58" s="38"/>
      <c r="E58" s="38"/>
      <c r="F58" s="38"/>
      <c r="G58" s="38"/>
      <c r="H58" s="38"/>
    </row>
    <row r="59" spans="2:8" ht="15.75">
      <c r="B59" s="38"/>
      <c r="C59" s="38"/>
      <c r="D59" s="38"/>
      <c r="E59" s="38"/>
      <c r="F59" s="38"/>
      <c r="G59" s="38"/>
      <c r="H59" s="38"/>
    </row>
    <row r="60" spans="2:8" ht="15.75">
      <c r="B60" s="38"/>
      <c r="C60" s="38"/>
      <c r="D60" s="38"/>
      <c r="E60" s="38"/>
      <c r="F60" s="38"/>
      <c r="G60" s="38"/>
      <c r="H60" s="38"/>
    </row>
  </sheetData>
  <mergeCells count="18">
    <mergeCell ref="A2:P2"/>
    <mergeCell ref="G4:H5"/>
    <mergeCell ref="I4:J5"/>
    <mergeCell ref="A39:B39"/>
    <mergeCell ref="A11:B11"/>
    <mergeCell ref="F4:F5"/>
    <mergeCell ref="A4:A5"/>
    <mergeCell ref="B4:B5"/>
    <mergeCell ref="C4:D4"/>
    <mergeCell ref="E4:E5"/>
    <mergeCell ref="O4:P4"/>
    <mergeCell ref="A7:B7"/>
    <mergeCell ref="K4:L4"/>
    <mergeCell ref="A40:G40"/>
    <mergeCell ref="A25:B25"/>
    <mergeCell ref="A27:B27"/>
    <mergeCell ref="A28:B28"/>
    <mergeCell ref="A38:B38"/>
  </mergeCells>
  <printOptions/>
  <pageMargins left="0.75" right="0.75" top="1" bottom="1" header="0.5" footer="0.5"/>
  <pageSetup fitToHeight="1" fitToWidth="1" horizontalDpi="600" verticalDpi="600" orientation="portrait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workbookViewId="0" topLeftCell="A1">
      <selection activeCell="A1" sqref="A1:IV16384"/>
    </sheetView>
  </sheetViews>
  <sheetFormatPr defaultColWidth="9.00390625" defaultRowHeight="12.75"/>
  <cols>
    <col min="1" max="1" width="12.75390625" style="5" customWidth="1"/>
    <col min="2" max="2" width="33.125" style="5" customWidth="1"/>
    <col min="3" max="3" width="13.375" style="0" customWidth="1"/>
    <col min="4" max="4" width="14.125" style="0" customWidth="1"/>
    <col min="5" max="5" width="12.375" style="0" customWidth="1"/>
    <col min="6" max="6" width="12.625" style="0" customWidth="1"/>
    <col min="7" max="7" width="14.00390625" style="0" customWidth="1"/>
    <col min="8" max="8" width="12.375" style="0" customWidth="1"/>
    <col min="9" max="9" width="12.25390625" style="13" customWidth="1"/>
    <col min="10" max="10" width="13.125" style="13" customWidth="1"/>
    <col min="11" max="11" width="12.625" style="13" customWidth="1"/>
    <col min="12" max="12" width="13.75390625" style="0" customWidth="1"/>
    <col min="13" max="13" width="14.375" style="0" customWidth="1"/>
    <col min="14" max="14" width="12.75390625" style="0" customWidth="1"/>
  </cols>
  <sheetData>
    <row r="1" spans="12:14" ht="15">
      <c r="L1" s="321" t="s">
        <v>54</v>
      </c>
      <c r="M1" s="321"/>
      <c r="N1" s="321"/>
    </row>
    <row r="3" spans="1:14" ht="22.5">
      <c r="A3" s="313" t="s">
        <v>195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</row>
    <row r="5" spans="1:14" ht="15" customHeight="1">
      <c r="A5" s="318" t="s">
        <v>5</v>
      </c>
      <c r="B5" s="315" t="s">
        <v>7</v>
      </c>
      <c r="C5" s="289" t="s">
        <v>197</v>
      </c>
      <c r="D5" s="272" t="s">
        <v>3</v>
      </c>
      <c r="E5" s="266"/>
      <c r="F5" s="267"/>
      <c r="G5" s="283" t="s">
        <v>2</v>
      </c>
      <c r="H5" s="284"/>
      <c r="I5" s="314" t="s">
        <v>0</v>
      </c>
      <c r="J5" s="314"/>
      <c r="K5" s="314"/>
      <c r="L5" s="306" t="s">
        <v>1</v>
      </c>
      <c r="M5" s="306"/>
      <c r="N5" s="307"/>
    </row>
    <row r="6" spans="1:14" ht="15" customHeight="1">
      <c r="A6" s="319"/>
      <c r="B6" s="316"/>
      <c r="C6" s="308"/>
      <c r="D6" s="289" t="s">
        <v>156</v>
      </c>
      <c r="E6" s="309" t="s">
        <v>6</v>
      </c>
      <c r="F6" s="310"/>
      <c r="G6" s="283" t="s">
        <v>158</v>
      </c>
      <c r="H6" s="304" t="s">
        <v>198</v>
      </c>
      <c r="I6" s="314" t="s">
        <v>4</v>
      </c>
      <c r="J6" s="314" t="s">
        <v>148</v>
      </c>
      <c r="K6" s="314" t="s">
        <v>153</v>
      </c>
      <c r="L6" s="314" t="s">
        <v>4</v>
      </c>
      <c r="M6" s="314" t="s">
        <v>148</v>
      </c>
      <c r="N6" s="314" t="s">
        <v>153</v>
      </c>
    </row>
    <row r="7" spans="1:14" ht="57" customHeight="1">
      <c r="A7" s="320"/>
      <c r="B7" s="317"/>
      <c r="C7" s="264"/>
      <c r="D7" s="264"/>
      <c r="E7" s="4" t="s">
        <v>157</v>
      </c>
      <c r="F7" s="12" t="s">
        <v>198</v>
      </c>
      <c r="G7" s="285"/>
      <c r="H7" s="305"/>
      <c r="I7" s="314"/>
      <c r="J7" s="314"/>
      <c r="K7" s="314"/>
      <c r="L7" s="314"/>
      <c r="M7" s="314"/>
      <c r="N7" s="314"/>
    </row>
    <row r="8" spans="1:14" s="220" customFormat="1" ht="12.75">
      <c r="A8" s="216">
        <v>1</v>
      </c>
      <c r="B8" s="28">
        <v>2</v>
      </c>
      <c r="C8" s="218">
        <v>3</v>
      </c>
      <c r="D8" s="218">
        <v>4</v>
      </c>
      <c r="E8" s="219">
        <v>5</v>
      </c>
      <c r="F8" s="219">
        <v>6</v>
      </c>
      <c r="G8" s="218">
        <v>7</v>
      </c>
      <c r="H8" s="218">
        <v>8</v>
      </c>
      <c r="I8" s="218">
        <v>9</v>
      </c>
      <c r="J8" s="218">
        <v>10</v>
      </c>
      <c r="K8" s="218">
        <v>11</v>
      </c>
      <c r="L8" s="218">
        <v>12</v>
      </c>
      <c r="M8" s="218">
        <v>13</v>
      </c>
      <c r="N8" s="218">
        <v>14</v>
      </c>
    </row>
    <row r="9" spans="1:14" ht="24" customHeight="1">
      <c r="A9" s="303" t="s">
        <v>36</v>
      </c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</row>
    <row r="10" spans="1:14" ht="54" customHeight="1">
      <c r="A10" s="199">
        <v>11010000</v>
      </c>
      <c r="B10" s="11" t="s">
        <v>13</v>
      </c>
      <c r="C10" s="178">
        <v>60737.4</v>
      </c>
      <c r="D10" s="177">
        <v>102041.7</v>
      </c>
      <c r="E10" s="178">
        <v>75789.6</v>
      </c>
      <c r="F10" s="179">
        <f>E10-'01.09'!E10</f>
        <v>8526.600000000006</v>
      </c>
      <c r="G10" s="178">
        <v>73972.9</v>
      </c>
      <c r="H10" s="179">
        <f>G10-'01.09'!G10</f>
        <v>7726.199999999997</v>
      </c>
      <c r="I10" s="200">
        <f>G10/C10*100</f>
        <v>121.79135096332736</v>
      </c>
      <c r="J10" s="200">
        <f>G10/D10*100</f>
        <v>72.49281421222892</v>
      </c>
      <c r="K10" s="200">
        <f>G10/E10*100</f>
        <v>97.60296927282897</v>
      </c>
      <c r="L10" s="178">
        <f>G10-C10</f>
        <v>13235.499999999993</v>
      </c>
      <c r="M10" s="178">
        <f>G10-D10</f>
        <v>-28068.800000000003</v>
      </c>
      <c r="N10" s="178">
        <f>G10-E10</f>
        <v>-1816.7000000000116</v>
      </c>
    </row>
    <row r="11" spans="1:14" ht="39">
      <c r="A11" s="199">
        <v>22010300</v>
      </c>
      <c r="B11" s="11" t="s">
        <v>10</v>
      </c>
      <c r="C11" s="178">
        <v>12.4</v>
      </c>
      <c r="D11" s="177">
        <v>16.5</v>
      </c>
      <c r="E11" s="178">
        <v>11.4</v>
      </c>
      <c r="F11" s="179">
        <f>E11-'01.09'!E11</f>
        <v>1.5999999999999996</v>
      </c>
      <c r="G11" s="178">
        <v>10.1</v>
      </c>
      <c r="H11" s="179">
        <f>G11-'01.09'!G11</f>
        <v>1.1999999999999993</v>
      </c>
      <c r="I11" s="200">
        <f>G11/C11*100</f>
        <v>81.4516129032258</v>
      </c>
      <c r="J11" s="200">
        <f>G11/D11*100</f>
        <v>61.212121212121204</v>
      </c>
      <c r="K11" s="200">
        <f>G11/E11*100</f>
        <v>88.59649122807018</v>
      </c>
      <c r="L11" s="178">
        <f>G11-C11</f>
        <v>-2.3000000000000007</v>
      </c>
      <c r="M11" s="178">
        <f>G11-D11</f>
        <v>-6.4</v>
      </c>
      <c r="N11" s="178">
        <f>G11-E11</f>
        <v>-1.3000000000000007</v>
      </c>
    </row>
    <row r="12" spans="1:14" ht="18.75" customHeight="1">
      <c r="A12" s="199">
        <v>22090000</v>
      </c>
      <c r="B12" s="11" t="s">
        <v>11</v>
      </c>
      <c r="C12" s="178">
        <v>43.5</v>
      </c>
      <c r="D12" s="177">
        <v>60</v>
      </c>
      <c r="E12" s="178">
        <v>44.6</v>
      </c>
      <c r="F12" s="179">
        <f>E12-'01.09'!E12</f>
        <v>6.899999999999999</v>
      </c>
      <c r="G12" s="178">
        <v>55.3</v>
      </c>
      <c r="H12" s="179">
        <f>G12-'01.09'!G12</f>
        <v>6.399999999999999</v>
      </c>
      <c r="I12" s="200">
        <f>G12/C12*100</f>
        <v>127.1264367816092</v>
      </c>
      <c r="J12" s="200">
        <f>G12/D12*100</f>
        <v>92.16666666666666</v>
      </c>
      <c r="K12" s="200">
        <f>G12/E12*100</f>
        <v>123.99103139013452</v>
      </c>
      <c r="L12" s="178">
        <f>G12-C12</f>
        <v>11.799999999999997</v>
      </c>
      <c r="M12" s="178">
        <f>G12-D12</f>
        <v>-4.700000000000003</v>
      </c>
      <c r="N12" s="178">
        <f>G12-E12</f>
        <v>10.699999999999996</v>
      </c>
    </row>
    <row r="13" spans="1:14" ht="30" customHeight="1">
      <c r="A13" s="301" t="s">
        <v>12</v>
      </c>
      <c r="B13" s="301"/>
      <c r="C13" s="180">
        <f aca="true" t="shared" si="0" ref="C13:H13">SUM(C10:C12)</f>
        <v>60793.3</v>
      </c>
      <c r="D13" s="180">
        <f t="shared" si="0"/>
        <v>102118.2</v>
      </c>
      <c r="E13" s="180">
        <f t="shared" si="0"/>
        <v>75845.6</v>
      </c>
      <c r="F13" s="180">
        <f t="shared" si="0"/>
        <v>8535.100000000006</v>
      </c>
      <c r="G13" s="180">
        <f t="shared" si="0"/>
        <v>74038.3</v>
      </c>
      <c r="H13" s="180">
        <f t="shared" si="0"/>
        <v>7733.7999999999965</v>
      </c>
      <c r="I13" s="201">
        <f>G13/C13*100</f>
        <v>121.78694033717532</v>
      </c>
      <c r="J13" s="201">
        <f>G13/D13*100</f>
        <v>72.50255096544984</v>
      </c>
      <c r="K13" s="201">
        <f>G13/E13*100</f>
        <v>97.61713270117185</v>
      </c>
      <c r="L13" s="180">
        <f>G13-C13</f>
        <v>13245</v>
      </c>
      <c r="M13" s="180">
        <f>G13-D13</f>
        <v>-28079.899999999994</v>
      </c>
      <c r="N13" s="180">
        <f>G13-E13</f>
        <v>-1807.300000000003</v>
      </c>
    </row>
    <row r="14" spans="1:14" ht="39">
      <c r="A14" s="202">
        <v>11010600</v>
      </c>
      <c r="B14" s="11" t="s">
        <v>14</v>
      </c>
      <c r="C14" s="178">
        <v>50.2</v>
      </c>
      <c r="D14" s="178">
        <v>0</v>
      </c>
      <c r="E14" s="178">
        <v>0</v>
      </c>
      <c r="F14" s="179">
        <f>E14-'01.09'!E14</f>
        <v>0</v>
      </c>
      <c r="G14" s="178">
        <v>-0.4</v>
      </c>
      <c r="H14" s="179">
        <f>G14-'01.09'!G14</f>
        <v>0</v>
      </c>
      <c r="I14" s="200">
        <f aca="true" t="shared" si="1" ref="I14:I56">G14/C14*100</f>
        <v>-0.796812749003984</v>
      </c>
      <c r="J14" s="200" t="e">
        <f aca="true" t="shared" si="2" ref="J14:J56">G14/D14*100</f>
        <v>#DIV/0!</v>
      </c>
      <c r="K14" s="200" t="e">
        <f>G14/E14*100</f>
        <v>#DIV/0!</v>
      </c>
      <c r="L14" s="178">
        <f aca="true" t="shared" si="3" ref="L14:L56">G14-C14</f>
        <v>-50.6</v>
      </c>
      <c r="M14" s="178">
        <f aca="true" t="shared" si="4" ref="M14:M56">G14-D14</f>
        <v>-0.4</v>
      </c>
      <c r="N14" s="178">
        <f aca="true" t="shared" si="5" ref="N14:N56">G14-E14</f>
        <v>-0.4</v>
      </c>
    </row>
    <row r="15" spans="1:14" ht="38.25">
      <c r="A15" s="203" t="s">
        <v>15</v>
      </c>
      <c r="B15" s="14" t="s">
        <v>16</v>
      </c>
      <c r="C15" s="178">
        <v>71.4</v>
      </c>
      <c r="D15" s="178">
        <v>100</v>
      </c>
      <c r="E15" s="178">
        <v>76.7</v>
      </c>
      <c r="F15" s="179">
        <f>E15-'01.09'!E15</f>
        <v>4</v>
      </c>
      <c r="G15" s="178">
        <v>205.2</v>
      </c>
      <c r="H15" s="179">
        <f>G15-'01.09'!G15</f>
        <v>0</v>
      </c>
      <c r="I15" s="200">
        <f t="shared" si="1"/>
        <v>287.39495798319325</v>
      </c>
      <c r="J15" s="200">
        <f t="shared" si="2"/>
        <v>205.20000000000002</v>
      </c>
      <c r="K15" s="200">
        <f aca="true" t="shared" si="6" ref="K15:K56">G15/E15*100</f>
        <v>267.53585397653194</v>
      </c>
      <c r="L15" s="178">
        <f t="shared" si="3"/>
        <v>133.79999999999998</v>
      </c>
      <c r="M15" s="178">
        <f t="shared" si="4"/>
        <v>105.19999999999999</v>
      </c>
      <c r="N15" s="178">
        <f t="shared" si="5"/>
        <v>128.5</v>
      </c>
    </row>
    <row r="16" spans="1:14" ht="15" customHeight="1">
      <c r="A16" s="204">
        <v>13050000</v>
      </c>
      <c r="B16" s="11" t="s">
        <v>17</v>
      </c>
      <c r="C16" s="178">
        <v>10498.5</v>
      </c>
      <c r="D16" s="178">
        <v>14200</v>
      </c>
      <c r="E16" s="178">
        <v>10234.4</v>
      </c>
      <c r="F16" s="179">
        <f>E16-'01.09'!E16</f>
        <v>1186.7999999999993</v>
      </c>
      <c r="G16" s="178">
        <v>10876.8</v>
      </c>
      <c r="H16" s="179">
        <f>G16-'01.09'!G16</f>
        <v>1190.2999999999993</v>
      </c>
      <c r="I16" s="200">
        <f t="shared" si="1"/>
        <v>103.60337191027288</v>
      </c>
      <c r="J16" s="200">
        <f t="shared" si="2"/>
        <v>76.59718309859154</v>
      </c>
      <c r="K16" s="200">
        <f t="shared" si="6"/>
        <v>106.2768701633706</v>
      </c>
      <c r="L16" s="178">
        <f t="shared" si="3"/>
        <v>378.2999999999993</v>
      </c>
      <c r="M16" s="178">
        <f t="shared" si="4"/>
        <v>-3323.2000000000007</v>
      </c>
      <c r="N16" s="178">
        <f t="shared" si="5"/>
        <v>642.3999999999996</v>
      </c>
    </row>
    <row r="17" spans="1:14" ht="26.25">
      <c r="A17" s="204">
        <v>18000000</v>
      </c>
      <c r="B17" s="11" t="s">
        <v>164</v>
      </c>
      <c r="C17" s="181">
        <f>SUM(C18:C20)</f>
        <v>173</v>
      </c>
      <c r="D17" s="181">
        <f>SUM(D18:D20)</f>
        <v>242</v>
      </c>
      <c r="E17" s="181">
        <f>SUM(E18:E20)</f>
        <v>179.4</v>
      </c>
      <c r="F17" s="179">
        <f>E17-'01.09'!E17</f>
        <v>19.599999999999994</v>
      </c>
      <c r="G17" s="181">
        <f>SUM(G18:G20)</f>
        <v>201.4</v>
      </c>
      <c r="H17" s="179">
        <f>G17-'01.09'!G17</f>
        <v>23.30000000000001</v>
      </c>
      <c r="I17" s="200">
        <f t="shared" si="1"/>
        <v>116.41618497109828</v>
      </c>
      <c r="J17" s="200">
        <f t="shared" si="2"/>
        <v>83.22314049586778</v>
      </c>
      <c r="K17" s="200">
        <f t="shared" si="6"/>
        <v>112.26309921962097</v>
      </c>
      <c r="L17" s="178">
        <f t="shared" si="3"/>
        <v>28.400000000000006</v>
      </c>
      <c r="M17" s="178">
        <f t="shared" si="4"/>
        <v>-40.599999999999994</v>
      </c>
      <c r="N17" s="178">
        <f t="shared" si="5"/>
        <v>22</v>
      </c>
    </row>
    <row r="18" spans="1:14" ht="15.75">
      <c r="A18" s="204">
        <v>18020000</v>
      </c>
      <c r="B18" s="10" t="s">
        <v>19</v>
      </c>
      <c r="C18" s="178">
        <v>0.1</v>
      </c>
      <c r="D18" s="178"/>
      <c r="E18" s="178"/>
      <c r="F18" s="179">
        <f>E18-'01.09'!E18</f>
        <v>0</v>
      </c>
      <c r="G18" s="178"/>
      <c r="H18" s="179">
        <f>G18-'01.09'!G18</f>
        <v>0</v>
      </c>
      <c r="I18" s="200">
        <f t="shared" si="1"/>
        <v>0</v>
      </c>
      <c r="J18" s="200" t="e">
        <f t="shared" si="2"/>
        <v>#DIV/0!</v>
      </c>
      <c r="K18" s="200" t="e">
        <f t="shared" si="6"/>
        <v>#DIV/0!</v>
      </c>
      <c r="L18" s="178">
        <f t="shared" si="3"/>
        <v>-0.1</v>
      </c>
      <c r="M18" s="178">
        <f t="shared" si="4"/>
        <v>0</v>
      </c>
      <c r="N18" s="178">
        <f t="shared" si="5"/>
        <v>0</v>
      </c>
    </row>
    <row r="19" spans="1:14" ht="15.75">
      <c r="A19" s="204">
        <v>18030000</v>
      </c>
      <c r="B19" s="10" t="s">
        <v>20</v>
      </c>
      <c r="C19" s="178">
        <v>1.6</v>
      </c>
      <c r="D19" s="178">
        <v>2</v>
      </c>
      <c r="E19" s="178">
        <v>1.5</v>
      </c>
      <c r="F19" s="179">
        <f>E19-'01.09'!E19</f>
        <v>0.19999999999999996</v>
      </c>
      <c r="G19" s="178">
        <v>6.8</v>
      </c>
      <c r="H19" s="179">
        <f>G19-'01.09'!G19</f>
        <v>0.7000000000000002</v>
      </c>
      <c r="I19" s="200">
        <f t="shared" si="1"/>
        <v>425</v>
      </c>
      <c r="J19" s="200">
        <f t="shared" si="2"/>
        <v>340</v>
      </c>
      <c r="K19" s="200">
        <f t="shared" si="6"/>
        <v>453.3333333333333</v>
      </c>
      <c r="L19" s="178">
        <f t="shared" si="3"/>
        <v>5.199999999999999</v>
      </c>
      <c r="M19" s="178">
        <f t="shared" si="4"/>
        <v>4.8</v>
      </c>
      <c r="N19" s="178">
        <f t="shared" si="5"/>
        <v>5.3</v>
      </c>
    </row>
    <row r="20" spans="1:14" ht="26.25">
      <c r="A20" s="204">
        <v>18040000</v>
      </c>
      <c r="B20" s="11" t="s">
        <v>21</v>
      </c>
      <c r="C20" s="178">
        <v>171.3</v>
      </c>
      <c r="D20" s="178">
        <v>240</v>
      </c>
      <c r="E20" s="178">
        <v>177.9</v>
      </c>
      <c r="F20" s="179">
        <f>E20-'01.09'!E20</f>
        <v>19.400000000000006</v>
      </c>
      <c r="G20" s="178">
        <v>194.6</v>
      </c>
      <c r="H20" s="179">
        <f>G20-'01.09'!G20</f>
        <v>22.599999999999994</v>
      </c>
      <c r="I20" s="200">
        <f t="shared" si="1"/>
        <v>113.60186806771743</v>
      </c>
      <c r="J20" s="200">
        <f t="shared" si="2"/>
        <v>81.08333333333333</v>
      </c>
      <c r="K20" s="200">
        <f t="shared" si="6"/>
        <v>109.38729623383922</v>
      </c>
      <c r="L20" s="178">
        <f t="shared" si="3"/>
        <v>23.299999999999983</v>
      </c>
      <c r="M20" s="178">
        <f t="shared" si="4"/>
        <v>-45.400000000000006</v>
      </c>
      <c r="N20" s="178">
        <f t="shared" si="5"/>
        <v>16.69999999999999</v>
      </c>
    </row>
    <row r="21" spans="1:14" ht="26.25">
      <c r="A21" s="204">
        <v>19040100</v>
      </c>
      <c r="B21" s="11" t="s">
        <v>41</v>
      </c>
      <c r="C21" s="178">
        <v>0.3</v>
      </c>
      <c r="D21" s="178">
        <v>0</v>
      </c>
      <c r="E21" s="178">
        <v>0</v>
      </c>
      <c r="F21" s="179">
        <f>E21-'01.09'!E21</f>
        <v>0</v>
      </c>
      <c r="G21" s="178">
        <v>0.4</v>
      </c>
      <c r="H21" s="179">
        <f>G21-'01.09'!G21</f>
        <v>0.10000000000000003</v>
      </c>
      <c r="I21" s="200">
        <f t="shared" si="1"/>
        <v>133.33333333333334</v>
      </c>
      <c r="J21" s="200" t="e">
        <f t="shared" si="2"/>
        <v>#DIV/0!</v>
      </c>
      <c r="K21" s="200" t="e">
        <f t="shared" si="6"/>
        <v>#DIV/0!</v>
      </c>
      <c r="L21" s="178">
        <f>G21-C21</f>
        <v>0.10000000000000003</v>
      </c>
      <c r="M21" s="178">
        <f>G21-D21</f>
        <v>0.4</v>
      </c>
      <c r="N21" s="178">
        <f>G21-E21</f>
        <v>0.4</v>
      </c>
    </row>
    <row r="22" spans="1:14" ht="51">
      <c r="A22" s="44" t="s">
        <v>26</v>
      </c>
      <c r="B22" s="8" t="s">
        <v>162</v>
      </c>
      <c r="C22" s="178">
        <v>1.1</v>
      </c>
      <c r="D22" s="178">
        <v>0</v>
      </c>
      <c r="E22" s="178">
        <v>0</v>
      </c>
      <c r="F22" s="179">
        <f>E22-'01.09'!E22</f>
        <v>0</v>
      </c>
      <c r="G22" s="178">
        <v>0.3</v>
      </c>
      <c r="H22" s="179">
        <f>G22-'01.09'!G22</f>
        <v>0</v>
      </c>
      <c r="I22" s="200">
        <f t="shared" si="1"/>
        <v>27.27272727272727</v>
      </c>
      <c r="J22" s="200" t="e">
        <f t="shared" si="2"/>
        <v>#DIV/0!</v>
      </c>
      <c r="K22" s="200" t="e">
        <f t="shared" si="6"/>
        <v>#DIV/0!</v>
      </c>
      <c r="L22" s="178">
        <f t="shared" si="3"/>
        <v>-0.8</v>
      </c>
      <c r="M22" s="178">
        <f t="shared" si="4"/>
        <v>0.3</v>
      </c>
      <c r="N22" s="178">
        <f t="shared" si="5"/>
        <v>0.3</v>
      </c>
    </row>
    <row r="23" spans="1:14" ht="15.75">
      <c r="A23" s="203" t="s">
        <v>24</v>
      </c>
      <c r="B23" s="9" t="s">
        <v>25</v>
      </c>
      <c r="C23" s="178">
        <v>25.2</v>
      </c>
      <c r="D23" s="178">
        <v>15</v>
      </c>
      <c r="E23" s="178">
        <v>11</v>
      </c>
      <c r="F23" s="179">
        <f>E23-'01.09'!E23</f>
        <v>1.3000000000000007</v>
      </c>
      <c r="G23" s="178">
        <v>17.7</v>
      </c>
      <c r="H23" s="179">
        <f>G23-'01.09'!G23</f>
        <v>1.3999999999999986</v>
      </c>
      <c r="I23" s="200">
        <f t="shared" si="1"/>
        <v>70.23809523809523</v>
      </c>
      <c r="J23" s="200">
        <f t="shared" si="2"/>
        <v>118</v>
      </c>
      <c r="K23" s="200">
        <f t="shared" si="6"/>
        <v>160.9090909090909</v>
      </c>
      <c r="L23" s="178">
        <f t="shared" si="3"/>
        <v>-7.5</v>
      </c>
      <c r="M23" s="178">
        <f t="shared" si="4"/>
        <v>2.6999999999999993</v>
      </c>
      <c r="N23" s="178">
        <f t="shared" si="5"/>
        <v>6.699999999999999</v>
      </c>
    </row>
    <row r="24" spans="1:14" ht="53.25" customHeight="1">
      <c r="A24" s="203" t="s">
        <v>22</v>
      </c>
      <c r="B24" s="18" t="s">
        <v>23</v>
      </c>
      <c r="C24" s="178">
        <v>477.3</v>
      </c>
      <c r="D24" s="178">
        <v>645</v>
      </c>
      <c r="E24" s="178">
        <v>475.5</v>
      </c>
      <c r="F24" s="179">
        <f>E24-'01.09'!E24</f>
        <v>60</v>
      </c>
      <c r="G24" s="178">
        <v>477</v>
      </c>
      <c r="H24" s="179">
        <f>G24-'01.09'!G24</f>
        <v>43.89999999999998</v>
      </c>
      <c r="I24" s="200">
        <f t="shared" si="1"/>
        <v>99.93714644877436</v>
      </c>
      <c r="J24" s="200">
        <f t="shared" si="2"/>
        <v>73.95348837209302</v>
      </c>
      <c r="K24" s="200">
        <f t="shared" si="6"/>
        <v>100.3154574132492</v>
      </c>
      <c r="L24" s="178">
        <f t="shared" si="3"/>
        <v>-0.30000000000001137</v>
      </c>
      <c r="M24" s="178">
        <f t="shared" si="4"/>
        <v>-168</v>
      </c>
      <c r="N24" s="178">
        <f t="shared" si="5"/>
        <v>1.5</v>
      </c>
    </row>
    <row r="25" spans="1:14" ht="31.5">
      <c r="A25" s="204" t="s">
        <v>55</v>
      </c>
      <c r="B25" s="10" t="s">
        <v>28</v>
      </c>
      <c r="C25" s="178">
        <v>173.8</v>
      </c>
      <c r="D25" s="178">
        <v>0</v>
      </c>
      <c r="E25" s="178"/>
      <c r="F25" s="179">
        <f>E25-'01.09'!E25</f>
        <v>0</v>
      </c>
      <c r="G25" s="178">
        <v>32.8</v>
      </c>
      <c r="H25" s="179">
        <f>G25-'01.09'!G25</f>
        <v>7.299999999999997</v>
      </c>
      <c r="I25" s="200">
        <f t="shared" si="1"/>
        <v>18.872266973532795</v>
      </c>
      <c r="J25" s="200" t="e">
        <f t="shared" si="2"/>
        <v>#DIV/0!</v>
      </c>
      <c r="K25" s="200" t="e">
        <f t="shared" si="6"/>
        <v>#DIV/0!</v>
      </c>
      <c r="L25" s="178">
        <f t="shared" si="3"/>
        <v>-141</v>
      </c>
      <c r="M25" s="178">
        <f t="shared" si="4"/>
        <v>32.8</v>
      </c>
      <c r="N25" s="178">
        <f t="shared" si="5"/>
        <v>32.8</v>
      </c>
    </row>
    <row r="26" spans="1:14" ht="26.25">
      <c r="A26" s="204">
        <v>24060600</v>
      </c>
      <c r="B26" s="11" t="s">
        <v>29</v>
      </c>
      <c r="C26" s="178"/>
      <c r="D26" s="178"/>
      <c r="E26" s="178"/>
      <c r="F26" s="179">
        <f>E26-'01.09'!E26</f>
        <v>0</v>
      </c>
      <c r="G26" s="178">
        <v>0.1</v>
      </c>
      <c r="H26" s="179">
        <f>G26-'01.09'!G26</f>
        <v>0.1</v>
      </c>
      <c r="I26" s="200" t="e">
        <f t="shared" si="1"/>
        <v>#DIV/0!</v>
      </c>
      <c r="J26" s="200" t="e">
        <f t="shared" si="2"/>
        <v>#DIV/0!</v>
      </c>
      <c r="K26" s="200" t="e">
        <f t="shared" si="6"/>
        <v>#DIV/0!</v>
      </c>
      <c r="L26" s="178">
        <f t="shared" si="3"/>
        <v>0.1</v>
      </c>
      <c r="M26" s="178">
        <f t="shared" si="4"/>
        <v>0.1</v>
      </c>
      <c r="N26" s="178">
        <f t="shared" si="5"/>
        <v>0.1</v>
      </c>
    </row>
    <row r="27" spans="1:14" ht="64.5">
      <c r="A27" s="204">
        <v>31010200</v>
      </c>
      <c r="B27" s="11" t="s">
        <v>30</v>
      </c>
      <c r="C27" s="178">
        <v>5.8</v>
      </c>
      <c r="D27" s="178">
        <v>0</v>
      </c>
      <c r="E27" s="178"/>
      <c r="F27" s="179">
        <f>E27-'01.09'!E27</f>
        <v>0</v>
      </c>
      <c r="G27" s="178">
        <v>2</v>
      </c>
      <c r="H27" s="179">
        <f>G27-'01.09'!G27</f>
        <v>0.7</v>
      </c>
      <c r="I27" s="200">
        <f t="shared" si="1"/>
        <v>34.48275862068966</v>
      </c>
      <c r="J27" s="200" t="e">
        <f t="shared" si="2"/>
        <v>#DIV/0!</v>
      </c>
      <c r="K27" s="200" t="e">
        <f t="shared" si="6"/>
        <v>#DIV/0!</v>
      </c>
      <c r="L27" s="178">
        <f t="shared" si="3"/>
        <v>-3.8</v>
      </c>
      <c r="M27" s="178">
        <f t="shared" si="4"/>
        <v>2</v>
      </c>
      <c r="N27" s="178">
        <f t="shared" si="5"/>
        <v>2</v>
      </c>
    </row>
    <row r="28" spans="1:14" s="102" customFormat="1" ht="30" customHeight="1">
      <c r="A28" s="301" t="s">
        <v>31</v>
      </c>
      <c r="B28" s="301"/>
      <c r="C28" s="180">
        <f aca="true" t="shared" si="7" ref="C28:H28">SUM(C14:C27)-C17</f>
        <v>11476.599999999999</v>
      </c>
      <c r="D28" s="180">
        <f t="shared" si="7"/>
        <v>15202</v>
      </c>
      <c r="E28" s="180">
        <f t="shared" si="7"/>
        <v>10977</v>
      </c>
      <c r="F28" s="180">
        <f t="shared" si="7"/>
        <v>1271.6999999999994</v>
      </c>
      <c r="G28" s="180">
        <f>SUM(G14:G27)-G17</f>
        <v>11813.299999999997</v>
      </c>
      <c r="H28" s="180">
        <f t="shared" si="7"/>
        <v>1267.0999999999992</v>
      </c>
      <c r="I28" s="201">
        <f t="shared" si="1"/>
        <v>102.9337957234721</v>
      </c>
      <c r="J28" s="201">
        <f t="shared" si="2"/>
        <v>77.70885409814497</v>
      </c>
      <c r="K28" s="201">
        <f t="shared" si="6"/>
        <v>107.61865719231116</v>
      </c>
      <c r="L28" s="180">
        <f t="shared" si="3"/>
        <v>336.6999999999989</v>
      </c>
      <c r="M28" s="180">
        <f t="shared" si="4"/>
        <v>-3388.7000000000025</v>
      </c>
      <c r="N28" s="180">
        <f t="shared" si="5"/>
        <v>836.2999999999975</v>
      </c>
    </row>
    <row r="29" spans="1:14" ht="25.5" customHeight="1">
      <c r="A29" s="299" t="s">
        <v>35</v>
      </c>
      <c r="B29" s="299"/>
      <c r="C29" s="22">
        <f aca="true" t="shared" si="8" ref="C29:H29">C13+C28</f>
        <v>72269.9</v>
      </c>
      <c r="D29" s="22">
        <f t="shared" si="8"/>
        <v>117320.2</v>
      </c>
      <c r="E29" s="22">
        <f t="shared" si="8"/>
        <v>86822.6</v>
      </c>
      <c r="F29" s="22">
        <f t="shared" si="8"/>
        <v>9806.800000000005</v>
      </c>
      <c r="G29" s="22">
        <f t="shared" si="8"/>
        <v>85851.6</v>
      </c>
      <c r="H29" s="22">
        <f t="shared" si="8"/>
        <v>9000.899999999996</v>
      </c>
      <c r="I29" s="25">
        <f t="shared" si="1"/>
        <v>118.79302448183824</v>
      </c>
      <c r="J29" s="25">
        <f t="shared" si="2"/>
        <v>73.17716812620503</v>
      </c>
      <c r="K29" s="25">
        <f t="shared" si="6"/>
        <v>98.88162759465854</v>
      </c>
      <c r="L29" s="22">
        <f t="shared" si="3"/>
        <v>13581.700000000012</v>
      </c>
      <c r="M29" s="22">
        <f t="shared" si="4"/>
        <v>-31468.59999999999</v>
      </c>
      <c r="N29" s="22">
        <f t="shared" si="5"/>
        <v>-971</v>
      </c>
    </row>
    <row r="30" spans="1:14" ht="26.25">
      <c r="A30" s="205">
        <v>40000000</v>
      </c>
      <c r="B30" s="20" t="s">
        <v>32</v>
      </c>
      <c r="C30" s="180">
        <f aca="true" t="shared" si="9" ref="C30:H30">SUM(C31:C32)</f>
        <v>17521.6</v>
      </c>
      <c r="D30" s="180">
        <f t="shared" si="9"/>
        <v>35965</v>
      </c>
      <c r="E30" s="180">
        <f t="shared" si="9"/>
        <v>25749.300000000003</v>
      </c>
      <c r="F30" s="180">
        <f t="shared" si="9"/>
        <v>3059.2000000000016</v>
      </c>
      <c r="G30" s="180">
        <f t="shared" si="9"/>
        <v>25683.799999999996</v>
      </c>
      <c r="H30" s="180">
        <f t="shared" si="9"/>
        <v>3153.799999999996</v>
      </c>
      <c r="I30" s="201">
        <f t="shared" si="1"/>
        <v>146.58364532919367</v>
      </c>
      <c r="J30" s="201">
        <f t="shared" si="2"/>
        <v>71.4133185041012</v>
      </c>
      <c r="K30" s="201">
        <f t="shared" si="6"/>
        <v>99.74562415288956</v>
      </c>
      <c r="L30" s="180">
        <f t="shared" si="3"/>
        <v>8162.199999999997</v>
      </c>
      <c r="M30" s="180">
        <f t="shared" si="4"/>
        <v>-10281.200000000004</v>
      </c>
      <c r="N30" s="180">
        <f t="shared" si="5"/>
        <v>-65.50000000000728</v>
      </c>
    </row>
    <row r="31" spans="1:14" ht="15.75">
      <c r="A31" s="206">
        <v>41020000</v>
      </c>
      <c r="B31" s="11" t="s">
        <v>33</v>
      </c>
      <c r="C31" s="178">
        <v>396.1</v>
      </c>
      <c r="D31" s="178">
        <v>7490</v>
      </c>
      <c r="E31" s="178">
        <v>3242.9</v>
      </c>
      <c r="F31" s="179">
        <f>E31-'01.09'!E31</f>
        <v>590.8000000000002</v>
      </c>
      <c r="G31" s="178">
        <f>3061.7+181.2</f>
        <v>3242.8999999999996</v>
      </c>
      <c r="H31" s="179">
        <f>G31-'01.09'!G31</f>
        <v>590.7999999999997</v>
      </c>
      <c r="I31" s="200">
        <f t="shared" si="1"/>
        <v>818.7073971219387</v>
      </c>
      <c r="J31" s="200">
        <f t="shared" si="2"/>
        <v>43.29639519359145</v>
      </c>
      <c r="K31" s="200">
        <f t="shared" si="6"/>
        <v>99.99999999999999</v>
      </c>
      <c r="L31" s="178">
        <f t="shared" si="3"/>
        <v>2846.7999999999997</v>
      </c>
      <c r="M31" s="178">
        <f t="shared" si="4"/>
        <v>-4247.1</v>
      </c>
      <c r="N31" s="178">
        <f t="shared" si="5"/>
        <v>0</v>
      </c>
    </row>
    <row r="32" spans="1:14" ht="15.75">
      <c r="A32" s="206">
        <v>41030000</v>
      </c>
      <c r="B32" s="11" t="s">
        <v>34</v>
      </c>
      <c r="C32" s="178">
        <v>17125.5</v>
      </c>
      <c r="D32" s="178">
        <v>28475</v>
      </c>
      <c r="E32" s="178">
        <v>22506.4</v>
      </c>
      <c r="F32" s="179">
        <f>E32-'01.09'!E32</f>
        <v>2468.4000000000015</v>
      </c>
      <c r="G32" s="178">
        <f>25683.8-3242.9</f>
        <v>22440.899999999998</v>
      </c>
      <c r="H32" s="179">
        <f>G32-'01.09'!G32</f>
        <v>2562.9999999999964</v>
      </c>
      <c r="I32" s="200">
        <f t="shared" si="1"/>
        <v>131.03792589997371</v>
      </c>
      <c r="J32" s="200">
        <f t="shared" si="2"/>
        <v>78.8091308165057</v>
      </c>
      <c r="K32" s="200">
        <f t="shared" si="6"/>
        <v>99.70897167028043</v>
      </c>
      <c r="L32" s="178">
        <f t="shared" si="3"/>
        <v>5315.399999999998</v>
      </c>
      <c r="M32" s="178">
        <f t="shared" si="4"/>
        <v>-6034.100000000002</v>
      </c>
      <c r="N32" s="178">
        <f t="shared" si="5"/>
        <v>-65.50000000000364</v>
      </c>
    </row>
    <row r="33" spans="1:14" ht="40.5" customHeight="1">
      <c r="A33" s="302" t="s">
        <v>50</v>
      </c>
      <c r="B33" s="302"/>
      <c r="C33" s="23">
        <f aca="true" t="shared" si="10" ref="C33:H33">C29+C30</f>
        <v>89791.5</v>
      </c>
      <c r="D33" s="23">
        <f>D29+D30</f>
        <v>153285.2</v>
      </c>
      <c r="E33" s="23">
        <f t="shared" si="10"/>
        <v>112571.90000000001</v>
      </c>
      <c r="F33" s="23">
        <f t="shared" si="10"/>
        <v>12866.000000000007</v>
      </c>
      <c r="G33" s="23">
        <f t="shared" si="10"/>
        <v>111535.4</v>
      </c>
      <c r="H33" s="23">
        <f t="shared" si="10"/>
        <v>12154.699999999992</v>
      </c>
      <c r="I33" s="26">
        <f t="shared" si="1"/>
        <v>124.21598926401718</v>
      </c>
      <c r="J33" s="26">
        <f t="shared" si="2"/>
        <v>72.76331961598379</v>
      </c>
      <c r="K33" s="26">
        <f t="shared" si="6"/>
        <v>99.0792551249468</v>
      </c>
      <c r="L33" s="23">
        <f t="shared" si="3"/>
        <v>21743.899999999994</v>
      </c>
      <c r="M33" s="23">
        <f t="shared" si="4"/>
        <v>-41749.80000000002</v>
      </c>
      <c r="N33" s="23">
        <f t="shared" si="5"/>
        <v>-1036.5000000000146</v>
      </c>
    </row>
    <row r="34" spans="1:14" ht="24" customHeight="1">
      <c r="A34" s="300" t="s">
        <v>37</v>
      </c>
      <c r="B34" s="300"/>
      <c r="C34" s="300"/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300"/>
    </row>
    <row r="35" spans="1:14" ht="27.75" customHeight="1">
      <c r="A35" s="301" t="s">
        <v>165</v>
      </c>
      <c r="B35" s="301"/>
      <c r="C35" s="180">
        <f aca="true" t="shared" si="11" ref="C35:H35">SUM(C36:C38)</f>
        <v>195.70000000000002</v>
      </c>
      <c r="D35" s="180">
        <f t="shared" si="11"/>
        <v>48</v>
      </c>
      <c r="E35" s="180">
        <f t="shared" si="11"/>
        <v>35.8</v>
      </c>
      <c r="F35" s="180">
        <f t="shared" si="11"/>
        <v>4.100000000000001</v>
      </c>
      <c r="G35" s="180">
        <f t="shared" si="11"/>
        <v>158.1</v>
      </c>
      <c r="H35" s="180">
        <f t="shared" si="11"/>
        <v>24.299999999999997</v>
      </c>
      <c r="I35" s="207">
        <f t="shared" si="1"/>
        <v>80.78691875319365</v>
      </c>
      <c r="J35" s="207">
        <f t="shared" si="2"/>
        <v>329.375</v>
      </c>
      <c r="K35" s="207">
        <f t="shared" si="6"/>
        <v>441.62011173184356</v>
      </c>
      <c r="L35" s="208">
        <f t="shared" si="3"/>
        <v>-37.60000000000002</v>
      </c>
      <c r="M35" s="208">
        <f t="shared" si="4"/>
        <v>110.1</v>
      </c>
      <c r="N35" s="208">
        <f t="shared" si="5"/>
        <v>122.3</v>
      </c>
    </row>
    <row r="36" spans="1:14" ht="26.25">
      <c r="A36" s="204">
        <v>12020000</v>
      </c>
      <c r="B36" s="11" t="s">
        <v>38</v>
      </c>
      <c r="C36" s="178">
        <v>154.4</v>
      </c>
      <c r="D36" s="178">
        <v>0</v>
      </c>
      <c r="E36" s="178"/>
      <c r="F36" s="179">
        <f>E36-'01.09'!E36</f>
        <v>0</v>
      </c>
      <c r="G36" s="178">
        <v>68</v>
      </c>
      <c r="H36" s="179">
        <f>G36-'01.09'!G36</f>
        <v>0</v>
      </c>
      <c r="I36" s="200">
        <f t="shared" si="1"/>
        <v>44.04145077720207</v>
      </c>
      <c r="J36" s="200" t="e">
        <f t="shared" si="2"/>
        <v>#DIV/0!</v>
      </c>
      <c r="K36" s="200" t="e">
        <f t="shared" si="6"/>
        <v>#DIV/0!</v>
      </c>
      <c r="L36" s="178">
        <f t="shared" si="3"/>
        <v>-86.4</v>
      </c>
      <c r="M36" s="178">
        <f t="shared" si="4"/>
        <v>68</v>
      </c>
      <c r="N36" s="178">
        <f t="shared" si="5"/>
        <v>68</v>
      </c>
    </row>
    <row r="37" spans="1:14" ht="26.25">
      <c r="A37" s="204">
        <v>12030000</v>
      </c>
      <c r="B37" s="11" t="s">
        <v>39</v>
      </c>
      <c r="C37" s="178">
        <v>21.9</v>
      </c>
      <c r="D37" s="178">
        <v>24</v>
      </c>
      <c r="E37" s="178">
        <v>17.8</v>
      </c>
      <c r="F37" s="179">
        <f>E37-'01.09'!E37</f>
        <v>2.1000000000000014</v>
      </c>
      <c r="G37" s="178">
        <v>59.7</v>
      </c>
      <c r="H37" s="179">
        <f>G37-'01.09'!G37</f>
        <v>22.5</v>
      </c>
      <c r="I37" s="200">
        <f>G37/C37*100</f>
        <v>272.60273972602744</v>
      </c>
      <c r="J37" s="200">
        <f>G37/D37*100</f>
        <v>248.75000000000003</v>
      </c>
      <c r="K37" s="200">
        <f>G37/E37*100</f>
        <v>335.39325842696627</v>
      </c>
      <c r="L37" s="178">
        <f t="shared" si="3"/>
        <v>37.800000000000004</v>
      </c>
      <c r="M37" s="178">
        <f t="shared" si="4"/>
        <v>35.7</v>
      </c>
      <c r="N37" s="178">
        <f t="shared" si="5"/>
        <v>41.900000000000006</v>
      </c>
    </row>
    <row r="38" spans="1:14" ht="79.5" customHeight="1">
      <c r="A38" s="204">
        <v>18041500</v>
      </c>
      <c r="B38" s="11" t="s">
        <v>40</v>
      </c>
      <c r="C38" s="178">
        <v>19.4</v>
      </c>
      <c r="D38" s="178">
        <v>24</v>
      </c>
      <c r="E38" s="178">
        <v>18</v>
      </c>
      <c r="F38" s="179">
        <f>E38-'01.09'!E38</f>
        <v>2</v>
      </c>
      <c r="G38" s="178">
        <v>30.4</v>
      </c>
      <c r="H38" s="179">
        <f>G38-'01.09'!G38</f>
        <v>1.7999999999999972</v>
      </c>
      <c r="I38" s="200">
        <f>G38/C38*100</f>
        <v>156.70103092783506</v>
      </c>
      <c r="J38" s="200">
        <f>G38/D38*100</f>
        <v>126.66666666666666</v>
      </c>
      <c r="K38" s="200">
        <f>G38/E38*100</f>
        <v>168.88888888888889</v>
      </c>
      <c r="L38" s="178">
        <f t="shared" si="3"/>
        <v>11</v>
      </c>
      <c r="M38" s="178">
        <f t="shared" si="4"/>
        <v>6.399999999999999</v>
      </c>
      <c r="N38" s="178">
        <f t="shared" si="5"/>
        <v>12.399999999999999</v>
      </c>
    </row>
    <row r="39" spans="1:14" ht="28.5" customHeight="1">
      <c r="A39" s="301" t="s">
        <v>166</v>
      </c>
      <c r="B39" s="301"/>
      <c r="C39" s="208">
        <f aca="true" t="shared" si="12" ref="C39:H39">SUM(C40:C42)</f>
        <v>127.8</v>
      </c>
      <c r="D39" s="208">
        <f t="shared" si="12"/>
        <v>200</v>
      </c>
      <c r="E39" s="208">
        <f t="shared" si="12"/>
        <v>150</v>
      </c>
      <c r="F39" s="208">
        <f t="shared" si="12"/>
        <v>0</v>
      </c>
      <c r="G39" s="208">
        <f t="shared" si="12"/>
        <v>147.79999999999998</v>
      </c>
      <c r="H39" s="208">
        <f t="shared" si="12"/>
        <v>0</v>
      </c>
      <c r="I39" s="207">
        <f t="shared" si="1"/>
        <v>115.64945226917057</v>
      </c>
      <c r="J39" s="207">
        <f t="shared" si="2"/>
        <v>73.89999999999999</v>
      </c>
      <c r="K39" s="207">
        <f t="shared" si="6"/>
        <v>98.53333333333332</v>
      </c>
      <c r="L39" s="208">
        <f t="shared" si="3"/>
        <v>19.999999999999986</v>
      </c>
      <c r="M39" s="208">
        <f t="shared" si="4"/>
        <v>-52.20000000000002</v>
      </c>
      <c r="N39" s="208">
        <f t="shared" si="5"/>
        <v>-2.200000000000017</v>
      </c>
    </row>
    <row r="40" spans="1:14" ht="15.75">
      <c r="A40" s="204">
        <v>19010000</v>
      </c>
      <c r="B40" s="11" t="s">
        <v>42</v>
      </c>
      <c r="C40" s="178">
        <v>109.9</v>
      </c>
      <c r="D40" s="178">
        <v>200</v>
      </c>
      <c r="E40" s="178">
        <v>150</v>
      </c>
      <c r="F40" s="179">
        <f>E40-'01.09'!E40</f>
        <v>0</v>
      </c>
      <c r="G40" s="178">
        <v>147.7</v>
      </c>
      <c r="H40" s="179">
        <f>G40-'01.09'!G40</f>
        <v>0</v>
      </c>
      <c r="I40" s="200">
        <f t="shared" si="1"/>
        <v>134.39490445859872</v>
      </c>
      <c r="J40" s="200">
        <f t="shared" si="2"/>
        <v>73.85</v>
      </c>
      <c r="K40" s="200">
        <f t="shared" si="6"/>
        <v>98.46666666666665</v>
      </c>
      <c r="L40" s="178">
        <f t="shared" si="3"/>
        <v>37.79999999999998</v>
      </c>
      <c r="M40" s="178">
        <f t="shared" si="4"/>
        <v>-52.30000000000001</v>
      </c>
      <c r="N40" s="178">
        <f t="shared" si="5"/>
        <v>-2.3000000000000114</v>
      </c>
    </row>
    <row r="41" spans="1:14" ht="26.25">
      <c r="A41" s="204">
        <v>19050000</v>
      </c>
      <c r="B41" s="11" t="s">
        <v>43</v>
      </c>
      <c r="C41" s="178">
        <v>16.6</v>
      </c>
      <c r="D41" s="178">
        <v>0</v>
      </c>
      <c r="E41" s="178">
        <v>0</v>
      </c>
      <c r="F41" s="179">
        <f>E41-'01.09'!E41</f>
        <v>0</v>
      </c>
      <c r="G41" s="178">
        <v>0.1</v>
      </c>
      <c r="H41" s="179">
        <f>G41-'01.09'!G41</f>
        <v>0</v>
      </c>
      <c r="I41" s="200">
        <f t="shared" si="1"/>
        <v>0.6024096385542168</v>
      </c>
      <c r="J41" s="200" t="e">
        <f t="shared" si="2"/>
        <v>#DIV/0!</v>
      </c>
      <c r="K41" s="200" t="e">
        <f t="shared" si="6"/>
        <v>#DIV/0!</v>
      </c>
      <c r="L41" s="178">
        <f t="shared" si="3"/>
        <v>-16.5</v>
      </c>
      <c r="M41" s="178">
        <f t="shared" si="4"/>
        <v>0.1</v>
      </c>
      <c r="N41" s="178">
        <f t="shared" si="5"/>
        <v>0.1</v>
      </c>
    </row>
    <row r="42" spans="1:14" ht="64.5">
      <c r="A42" s="204">
        <v>24062100</v>
      </c>
      <c r="B42" s="11" t="s">
        <v>56</v>
      </c>
      <c r="C42" s="178">
        <v>1.3</v>
      </c>
      <c r="D42" s="178">
        <v>0</v>
      </c>
      <c r="E42" s="178">
        <v>0</v>
      </c>
      <c r="F42" s="179">
        <f>E42-'01.09'!E42</f>
        <v>0</v>
      </c>
      <c r="G42" s="178">
        <v>0</v>
      </c>
      <c r="H42" s="179">
        <f>G42-'01.09'!G42</f>
        <v>0</v>
      </c>
      <c r="I42" s="200">
        <f t="shared" si="1"/>
        <v>0</v>
      </c>
      <c r="J42" s="200" t="e">
        <f t="shared" si="2"/>
        <v>#DIV/0!</v>
      </c>
      <c r="K42" s="200" t="e">
        <f t="shared" si="6"/>
        <v>#DIV/0!</v>
      </c>
      <c r="L42" s="178">
        <f t="shared" si="3"/>
        <v>-1.3</v>
      </c>
      <c r="M42" s="178">
        <f t="shared" si="4"/>
        <v>0</v>
      </c>
      <c r="N42" s="178">
        <f t="shared" si="5"/>
        <v>0</v>
      </c>
    </row>
    <row r="43" spans="1:14" ht="30.75" customHeight="1">
      <c r="A43" s="301" t="s">
        <v>167</v>
      </c>
      <c r="B43" s="301"/>
      <c r="C43" s="208">
        <f aca="true" t="shared" si="13" ref="C43:H43">SUM(C44:C47)</f>
        <v>1497.6</v>
      </c>
      <c r="D43" s="208">
        <f t="shared" si="13"/>
        <v>1800</v>
      </c>
      <c r="E43" s="208">
        <f>SUM(E44:E47)</f>
        <v>1606.4</v>
      </c>
      <c r="F43" s="208">
        <f t="shared" si="13"/>
        <v>295.5</v>
      </c>
      <c r="G43" s="208">
        <f t="shared" si="13"/>
        <v>2257</v>
      </c>
      <c r="H43" s="208">
        <f t="shared" si="13"/>
        <v>197.1</v>
      </c>
      <c r="I43" s="207">
        <f t="shared" si="1"/>
        <v>150.70779914529913</v>
      </c>
      <c r="J43" s="207">
        <f t="shared" si="2"/>
        <v>125.38888888888889</v>
      </c>
      <c r="K43" s="207">
        <f t="shared" si="6"/>
        <v>140.5004980079681</v>
      </c>
      <c r="L43" s="208">
        <f t="shared" si="3"/>
        <v>759.4000000000001</v>
      </c>
      <c r="M43" s="208">
        <f t="shared" si="4"/>
        <v>457</v>
      </c>
      <c r="N43" s="208">
        <f t="shared" si="5"/>
        <v>650.5999999999999</v>
      </c>
    </row>
    <row r="44" spans="1:14" ht="15.75">
      <c r="A44" s="204">
        <v>18050000</v>
      </c>
      <c r="B44" s="11" t="s">
        <v>44</v>
      </c>
      <c r="C44" s="178">
        <v>1459.1</v>
      </c>
      <c r="D44" s="178">
        <v>1800</v>
      </c>
      <c r="E44" s="178">
        <v>1606.4</v>
      </c>
      <c r="F44" s="179">
        <f>E44-'01.09'!E44</f>
        <v>295.5</v>
      </c>
      <c r="G44" s="178">
        <v>2248.6</v>
      </c>
      <c r="H44" s="179">
        <f>G44-'01.09'!G44</f>
        <v>193</v>
      </c>
      <c r="I44" s="209">
        <f t="shared" si="1"/>
        <v>154.10869714207388</v>
      </c>
      <c r="J44" s="209">
        <f t="shared" si="2"/>
        <v>124.92222222222222</v>
      </c>
      <c r="K44" s="209">
        <f t="shared" si="6"/>
        <v>139.97758964143426</v>
      </c>
      <c r="L44" s="210">
        <f t="shared" si="3"/>
        <v>789.5</v>
      </c>
      <c r="M44" s="210">
        <f t="shared" si="4"/>
        <v>448.5999999999999</v>
      </c>
      <c r="N44" s="210">
        <f t="shared" si="5"/>
        <v>642.1999999999998</v>
      </c>
    </row>
    <row r="45" spans="1:14" ht="39">
      <c r="A45" s="204">
        <v>24170000</v>
      </c>
      <c r="B45" s="11" t="s">
        <v>196</v>
      </c>
      <c r="C45" s="178">
        <v>0</v>
      </c>
      <c r="D45" s="178"/>
      <c r="E45" s="178">
        <v>0</v>
      </c>
      <c r="F45" s="179">
        <f>E45-'01.09'!E45</f>
        <v>0</v>
      </c>
      <c r="G45" s="178">
        <v>8.3</v>
      </c>
      <c r="H45" s="179">
        <f>G45-'01.09'!G45</f>
        <v>4.1000000000000005</v>
      </c>
      <c r="I45" s="209" t="e">
        <f t="shared" si="1"/>
        <v>#DIV/0!</v>
      </c>
      <c r="J45" s="209" t="e">
        <f t="shared" si="2"/>
        <v>#DIV/0!</v>
      </c>
      <c r="K45" s="209" t="e">
        <f t="shared" si="6"/>
        <v>#DIV/0!</v>
      </c>
      <c r="L45" s="210">
        <f t="shared" si="3"/>
        <v>8.3</v>
      </c>
      <c r="M45" s="210">
        <f t="shared" si="4"/>
        <v>8.3</v>
      </c>
      <c r="N45" s="210">
        <f t="shared" si="5"/>
        <v>8.3</v>
      </c>
    </row>
    <row r="46" spans="1:14" ht="39">
      <c r="A46" s="206">
        <v>31030000</v>
      </c>
      <c r="B46" s="11" t="s">
        <v>45</v>
      </c>
      <c r="C46" s="178">
        <v>0</v>
      </c>
      <c r="D46" s="178">
        <v>0</v>
      </c>
      <c r="E46" s="178">
        <v>0</v>
      </c>
      <c r="F46" s="179">
        <f>E46-'01.09'!E46</f>
        <v>0</v>
      </c>
      <c r="G46" s="178">
        <v>0.1</v>
      </c>
      <c r="H46" s="179">
        <f>G46-'01.09'!G46</f>
        <v>0</v>
      </c>
      <c r="I46" s="209" t="e">
        <f t="shared" si="1"/>
        <v>#DIV/0!</v>
      </c>
      <c r="J46" s="209" t="e">
        <f t="shared" si="2"/>
        <v>#DIV/0!</v>
      </c>
      <c r="K46" s="209" t="e">
        <f t="shared" si="6"/>
        <v>#DIV/0!</v>
      </c>
      <c r="L46" s="210">
        <f t="shared" si="3"/>
        <v>0.1</v>
      </c>
      <c r="M46" s="210">
        <f t="shared" si="4"/>
        <v>0.1</v>
      </c>
      <c r="N46" s="210">
        <f t="shared" si="5"/>
        <v>0.1</v>
      </c>
    </row>
    <row r="47" spans="1:14" ht="15.75">
      <c r="A47" s="206">
        <v>33010000</v>
      </c>
      <c r="B47" s="11" t="s">
        <v>46</v>
      </c>
      <c r="C47" s="178">
        <v>38.5</v>
      </c>
      <c r="D47" s="178">
        <v>0</v>
      </c>
      <c r="E47" s="178">
        <v>0</v>
      </c>
      <c r="F47" s="179">
        <f>E47-'01.09'!E47</f>
        <v>0</v>
      </c>
      <c r="G47" s="178">
        <v>0</v>
      </c>
      <c r="H47" s="179">
        <f>G47-'01.09'!G47</f>
        <v>0</v>
      </c>
      <c r="I47" s="209">
        <f t="shared" si="1"/>
        <v>0</v>
      </c>
      <c r="J47" s="209" t="e">
        <f t="shared" si="2"/>
        <v>#DIV/0!</v>
      </c>
      <c r="K47" s="209" t="e">
        <f t="shared" si="6"/>
        <v>#DIV/0!</v>
      </c>
      <c r="L47" s="210">
        <f t="shared" si="3"/>
        <v>-38.5</v>
      </c>
      <c r="M47" s="210">
        <f t="shared" si="4"/>
        <v>0</v>
      </c>
      <c r="N47" s="210">
        <f t="shared" si="5"/>
        <v>0</v>
      </c>
    </row>
    <row r="48" spans="1:14" ht="17.25" customHeight="1">
      <c r="A48" s="297" t="s">
        <v>199</v>
      </c>
      <c r="B48" s="297"/>
      <c r="C48" s="208">
        <v>54.1</v>
      </c>
      <c r="D48" s="208">
        <v>381.5</v>
      </c>
      <c r="E48" s="208">
        <v>381.5</v>
      </c>
      <c r="F48" s="208">
        <f>E48-'01.09'!E48</f>
        <v>63.5</v>
      </c>
      <c r="G48" s="208">
        <v>394.9</v>
      </c>
      <c r="H48" s="208">
        <f>G48-'01.09'!G48</f>
        <v>3</v>
      </c>
      <c r="I48" s="207">
        <f>G48/C48*100</f>
        <v>729.9445471349353</v>
      </c>
      <c r="J48" s="207">
        <f>G48/D48*100</f>
        <v>103.5124508519004</v>
      </c>
      <c r="K48" s="207">
        <f>G48/E48*100</f>
        <v>103.5124508519004</v>
      </c>
      <c r="L48" s="208">
        <f t="shared" si="3"/>
        <v>340.79999999999995</v>
      </c>
      <c r="M48" s="208">
        <f t="shared" si="4"/>
        <v>13.399999999999977</v>
      </c>
      <c r="N48" s="208">
        <f t="shared" si="5"/>
        <v>13.399999999999977</v>
      </c>
    </row>
    <row r="49" spans="1:14" ht="22.5" customHeight="1">
      <c r="A49" s="211" t="s">
        <v>51</v>
      </c>
      <c r="B49" s="21"/>
      <c r="C49" s="208">
        <v>2710.3</v>
      </c>
      <c r="D49" s="208">
        <v>3810.1</v>
      </c>
      <c r="E49" s="208">
        <f>D49/12*9</f>
        <v>2857.575</v>
      </c>
      <c r="F49" s="208">
        <f>E49-'01.09'!E49</f>
        <v>317.5083333333332</v>
      </c>
      <c r="G49" s="208">
        <f>2283.9+699.5</f>
        <v>2983.4</v>
      </c>
      <c r="H49" s="208">
        <f>G49-'01.09'!G49</f>
        <v>522.4000000000001</v>
      </c>
      <c r="I49" s="207">
        <f>G49/C49*100</f>
        <v>110.07637530900638</v>
      </c>
      <c r="J49" s="207">
        <f>G49/D49*100</f>
        <v>78.3024067609774</v>
      </c>
      <c r="K49" s="207">
        <f>G49/E49*100</f>
        <v>104.40320901463656</v>
      </c>
      <c r="L49" s="208">
        <f>G49-C49</f>
        <v>273.0999999999999</v>
      </c>
      <c r="M49" s="208">
        <f>G49-D49</f>
        <v>-826.6999999999998</v>
      </c>
      <c r="N49" s="208">
        <f>G49-E49</f>
        <v>125.82500000000027</v>
      </c>
    </row>
    <row r="50" spans="1:14" ht="24.75" customHeight="1">
      <c r="A50" s="19" t="s">
        <v>48</v>
      </c>
      <c r="B50" s="217"/>
      <c r="C50" s="22">
        <f aca="true" t="shared" si="14" ref="C50:H50">C35+C39+C43+C48+C49</f>
        <v>4585.5</v>
      </c>
      <c r="D50" s="22">
        <f t="shared" si="14"/>
        <v>6239.6</v>
      </c>
      <c r="E50" s="22">
        <f t="shared" si="14"/>
        <v>5031.275</v>
      </c>
      <c r="F50" s="22">
        <f t="shared" si="14"/>
        <v>680.6083333333332</v>
      </c>
      <c r="G50" s="22">
        <f t="shared" si="14"/>
        <v>5941.200000000001</v>
      </c>
      <c r="H50" s="22">
        <f t="shared" si="14"/>
        <v>746.8000000000001</v>
      </c>
      <c r="I50" s="25">
        <f>G50/C50*100</f>
        <v>129.56493294079164</v>
      </c>
      <c r="J50" s="25">
        <f>G50/D50*100</f>
        <v>95.2176421565485</v>
      </c>
      <c r="K50" s="25">
        <f>G50/E50*100</f>
        <v>118.08537597328711</v>
      </c>
      <c r="L50" s="22">
        <f>G50-C50</f>
        <v>1355.7000000000007</v>
      </c>
      <c r="M50" s="22">
        <f>G50-D50</f>
        <v>-298.39999999999964</v>
      </c>
      <c r="N50" s="22">
        <f>G50-E50</f>
        <v>909.9250000000011</v>
      </c>
    </row>
    <row r="51" spans="1:14" ht="28.5" customHeight="1">
      <c r="A51" s="205">
        <v>40000000</v>
      </c>
      <c r="B51" s="20" t="s">
        <v>32</v>
      </c>
      <c r="C51" s="180">
        <f aca="true" t="shared" si="15" ref="C51:H51">SUM(C52:C54)</f>
        <v>2671.2</v>
      </c>
      <c r="D51" s="180">
        <f t="shared" si="15"/>
        <v>6271.2</v>
      </c>
      <c r="E51" s="180">
        <f t="shared" si="15"/>
        <v>4551.5</v>
      </c>
      <c r="F51" s="180">
        <f t="shared" si="15"/>
        <v>499.50000000000017</v>
      </c>
      <c r="G51" s="180">
        <f t="shared" si="15"/>
        <v>4551.5</v>
      </c>
      <c r="H51" s="180">
        <f t="shared" si="15"/>
        <v>543.2000000000002</v>
      </c>
      <c r="I51" s="201">
        <f t="shared" si="1"/>
        <v>170.39158430667868</v>
      </c>
      <c r="J51" s="201">
        <f t="shared" si="2"/>
        <v>72.5778160479653</v>
      </c>
      <c r="K51" s="201">
        <f t="shared" si="6"/>
        <v>100</v>
      </c>
      <c r="L51" s="180">
        <f t="shared" si="3"/>
        <v>1880.3000000000002</v>
      </c>
      <c r="M51" s="180">
        <f t="shared" si="4"/>
        <v>-1719.6999999999998</v>
      </c>
      <c r="N51" s="180">
        <f t="shared" si="5"/>
        <v>0</v>
      </c>
    </row>
    <row r="52" spans="1:14" ht="67.5" customHeight="1">
      <c r="A52" s="206">
        <v>41034401</v>
      </c>
      <c r="B52" s="11" t="s">
        <v>161</v>
      </c>
      <c r="C52" s="210">
        <v>0</v>
      </c>
      <c r="D52" s="210">
        <v>1136.1</v>
      </c>
      <c r="E52" s="210">
        <v>817.3</v>
      </c>
      <c r="F52" s="179">
        <f>E52-'01.09'!E52</f>
        <v>102.39999999999998</v>
      </c>
      <c r="G52" s="210">
        <v>817.3</v>
      </c>
      <c r="H52" s="179">
        <f>G52-'01.09'!G52</f>
        <v>102.39999999999998</v>
      </c>
      <c r="I52" s="209" t="e">
        <f t="shared" si="1"/>
        <v>#DIV/0!</v>
      </c>
      <c r="J52" s="209">
        <f t="shared" si="2"/>
        <v>71.93908986884956</v>
      </c>
      <c r="K52" s="209">
        <f t="shared" si="6"/>
        <v>100</v>
      </c>
      <c r="L52" s="210">
        <f t="shared" si="3"/>
        <v>817.3</v>
      </c>
      <c r="M52" s="210">
        <f t="shared" si="4"/>
        <v>-318.79999999999995</v>
      </c>
      <c r="N52" s="210">
        <f t="shared" si="5"/>
        <v>0</v>
      </c>
    </row>
    <row r="53" spans="1:14" ht="21.75" customHeight="1">
      <c r="A53" s="206">
        <v>41035001</v>
      </c>
      <c r="B53" s="11" t="s">
        <v>163</v>
      </c>
      <c r="C53" s="210">
        <v>0</v>
      </c>
      <c r="D53" s="210">
        <v>505.3</v>
      </c>
      <c r="E53" s="210">
        <v>357.7</v>
      </c>
      <c r="F53" s="179">
        <f>E53-'01.09'!E53</f>
        <v>44.80000000000001</v>
      </c>
      <c r="G53" s="210">
        <v>357.7</v>
      </c>
      <c r="H53" s="179">
        <f>G53-'01.09'!G53</f>
        <v>88.5</v>
      </c>
      <c r="I53" s="209" t="e">
        <f>G53/C53*100</f>
        <v>#DIV/0!</v>
      </c>
      <c r="J53" s="209">
        <f>G53/D53*100</f>
        <v>70.78962992281812</v>
      </c>
      <c r="K53" s="209">
        <f>G53/E53*100</f>
        <v>100</v>
      </c>
      <c r="L53" s="210">
        <f>G53-C53</f>
        <v>357.7</v>
      </c>
      <c r="M53" s="210">
        <f>G53-D53</f>
        <v>-147.60000000000002</v>
      </c>
      <c r="N53" s="210">
        <f>G53-E53</f>
        <v>0</v>
      </c>
    </row>
    <row r="54" spans="1:14" ht="87.75" customHeight="1">
      <c r="A54" s="206">
        <v>41035101</v>
      </c>
      <c r="B54" s="11" t="s">
        <v>49</v>
      </c>
      <c r="C54" s="210">
        <v>2671.2</v>
      </c>
      <c r="D54" s="210">
        <v>4629.8</v>
      </c>
      <c r="E54" s="210">
        <v>3376.5</v>
      </c>
      <c r="F54" s="179">
        <f>E54-'01.09'!E54</f>
        <v>352.3000000000002</v>
      </c>
      <c r="G54" s="210">
        <v>3376.5</v>
      </c>
      <c r="H54" s="179">
        <f>G54-'01.09'!G54</f>
        <v>352.3000000000002</v>
      </c>
      <c r="I54" s="209">
        <f>G54/C54*100</f>
        <v>126.40386343216532</v>
      </c>
      <c r="J54" s="209">
        <f>G54/D54*100</f>
        <v>72.92971618644434</v>
      </c>
      <c r="K54" s="209">
        <f>G54/E54*100</f>
        <v>100</v>
      </c>
      <c r="L54" s="210">
        <f>G54-C54</f>
        <v>705.3000000000002</v>
      </c>
      <c r="M54" s="210">
        <f>G54-D54</f>
        <v>-1253.3000000000002</v>
      </c>
      <c r="N54" s="210">
        <f>G54-E54</f>
        <v>0</v>
      </c>
    </row>
    <row r="55" spans="1:14" ht="39.75" customHeight="1">
      <c r="A55" s="298" t="s">
        <v>52</v>
      </c>
      <c r="B55" s="298"/>
      <c r="C55" s="212">
        <f aca="true" t="shared" si="16" ref="C55:H55">C50+C51</f>
        <v>7256.7</v>
      </c>
      <c r="D55" s="212">
        <f t="shared" si="16"/>
        <v>12510.8</v>
      </c>
      <c r="E55" s="212">
        <f t="shared" si="16"/>
        <v>9582.775</v>
      </c>
      <c r="F55" s="212">
        <f t="shared" si="16"/>
        <v>1180.1083333333333</v>
      </c>
      <c r="G55" s="212">
        <f t="shared" si="16"/>
        <v>10492.7</v>
      </c>
      <c r="H55" s="212">
        <f t="shared" si="16"/>
        <v>1290.0000000000002</v>
      </c>
      <c r="I55" s="213">
        <f t="shared" si="1"/>
        <v>144.5932724241046</v>
      </c>
      <c r="J55" s="213">
        <f t="shared" si="2"/>
        <v>83.86913706557534</v>
      </c>
      <c r="K55" s="213">
        <f t="shared" si="6"/>
        <v>109.49542277680526</v>
      </c>
      <c r="L55" s="212">
        <f t="shared" si="3"/>
        <v>3236.000000000001</v>
      </c>
      <c r="M55" s="212">
        <f t="shared" si="4"/>
        <v>-2018.0999999999985</v>
      </c>
      <c r="N55" s="212">
        <f t="shared" si="5"/>
        <v>909.9250000000011</v>
      </c>
    </row>
    <row r="56" spans="1:14" ht="40.5" customHeight="1">
      <c r="A56" s="311" t="s">
        <v>53</v>
      </c>
      <c r="B56" s="311"/>
      <c r="C56" s="214">
        <f aca="true" t="shared" si="17" ref="C56:H56">C33+C55</f>
        <v>97048.2</v>
      </c>
      <c r="D56" s="214">
        <f t="shared" si="17"/>
        <v>165796</v>
      </c>
      <c r="E56" s="214">
        <f t="shared" si="17"/>
        <v>122154.675</v>
      </c>
      <c r="F56" s="214">
        <f t="shared" si="17"/>
        <v>14046.10833333334</v>
      </c>
      <c r="G56" s="214">
        <f t="shared" si="17"/>
        <v>122028.09999999999</v>
      </c>
      <c r="H56" s="214">
        <f t="shared" si="17"/>
        <v>13444.699999999992</v>
      </c>
      <c r="I56" s="215">
        <f t="shared" si="1"/>
        <v>125.73968399207816</v>
      </c>
      <c r="J56" s="215">
        <f t="shared" si="2"/>
        <v>73.60135347053004</v>
      </c>
      <c r="K56" s="215">
        <f t="shared" si="6"/>
        <v>99.8963813705861</v>
      </c>
      <c r="L56" s="214">
        <f t="shared" si="3"/>
        <v>24979.899999999994</v>
      </c>
      <c r="M56" s="214">
        <f t="shared" si="4"/>
        <v>-43767.90000000001</v>
      </c>
      <c r="N56" s="214">
        <f t="shared" si="5"/>
        <v>-126.57500000001164</v>
      </c>
    </row>
    <row r="57" spans="2:8" ht="12.75">
      <c r="B57" s="6"/>
      <c r="C57" s="24"/>
      <c r="D57" s="24"/>
      <c r="E57" s="24"/>
      <c r="F57" s="24"/>
      <c r="G57" s="24"/>
      <c r="H57" s="24"/>
    </row>
  </sheetData>
  <mergeCells count="31">
    <mergeCell ref="M6:M7"/>
    <mergeCell ref="L6:L7"/>
    <mergeCell ref="E6:F6"/>
    <mergeCell ref="G6:G7"/>
    <mergeCell ref="H6:H7"/>
    <mergeCell ref="A33:B33"/>
    <mergeCell ref="I5:K5"/>
    <mergeCell ref="A43:B43"/>
    <mergeCell ref="D6:D7"/>
    <mergeCell ref="I6:I7"/>
    <mergeCell ref="J6:J7"/>
    <mergeCell ref="A56:B56"/>
    <mergeCell ref="A39:B39"/>
    <mergeCell ref="A35:B35"/>
    <mergeCell ref="A9:N9"/>
    <mergeCell ref="A13:B13"/>
    <mergeCell ref="A28:B28"/>
    <mergeCell ref="A29:B29"/>
    <mergeCell ref="A34:N34"/>
    <mergeCell ref="A55:B55"/>
    <mergeCell ref="A48:B48"/>
    <mergeCell ref="L1:N1"/>
    <mergeCell ref="A3:N3"/>
    <mergeCell ref="A5:A7"/>
    <mergeCell ref="B5:B7"/>
    <mergeCell ref="C5:C7"/>
    <mergeCell ref="D5:F5"/>
    <mergeCell ref="G5:H5"/>
    <mergeCell ref="K6:K7"/>
    <mergeCell ref="N6:N7"/>
    <mergeCell ref="L5:N5"/>
  </mergeCells>
  <printOptions/>
  <pageMargins left="0.65" right="0.5" top="0.52" bottom="0.62" header="0.5" footer="0.5"/>
  <pageSetup fitToHeight="1" fitToWidth="1" horizontalDpi="600" verticalDpi="600" orientation="portrait" paperSize="9" scale="4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view="pageBreakPreview" zoomScaleSheetLayoutView="100" workbookViewId="0" topLeftCell="A40">
      <selection activeCell="A46" sqref="A46:B46"/>
    </sheetView>
  </sheetViews>
  <sheetFormatPr defaultColWidth="9.00390625" defaultRowHeight="12.75"/>
  <cols>
    <col min="1" max="1" width="12.75390625" style="5" customWidth="1"/>
    <col min="2" max="2" width="33.125" style="5" customWidth="1"/>
    <col min="3" max="3" width="13.375" style="0" customWidth="1"/>
    <col min="4" max="4" width="14.125" style="0" customWidth="1"/>
    <col min="5" max="5" width="12.375" style="0" customWidth="1"/>
    <col min="6" max="6" width="12.625" style="0" customWidth="1"/>
    <col min="7" max="7" width="14.00390625" style="0" customWidth="1"/>
    <col min="8" max="8" width="12.375" style="0" customWidth="1"/>
    <col min="9" max="9" width="12.25390625" style="13" customWidth="1"/>
    <col min="10" max="10" width="13.125" style="13" customWidth="1"/>
    <col min="11" max="11" width="12.625" style="13" customWidth="1"/>
    <col min="12" max="12" width="13.75390625" style="0" customWidth="1"/>
    <col min="13" max="13" width="14.375" style="0" customWidth="1"/>
    <col min="14" max="14" width="12.75390625" style="0" customWidth="1"/>
  </cols>
  <sheetData>
    <row r="1" spans="12:14" ht="15">
      <c r="L1" s="321" t="s">
        <v>54</v>
      </c>
      <c r="M1" s="321"/>
      <c r="N1" s="321"/>
    </row>
    <row r="3" spans="1:14" ht="22.5">
      <c r="A3" s="313" t="s">
        <v>200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</row>
    <row r="5" spans="1:14" ht="15" customHeight="1">
      <c r="A5" s="318" t="s">
        <v>5</v>
      </c>
      <c r="B5" s="315" t="s">
        <v>7</v>
      </c>
      <c r="C5" s="289" t="s">
        <v>201</v>
      </c>
      <c r="D5" s="272" t="s">
        <v>3</v>
      </c>
      <c r="E5" s="266"/>
      <c r="F5" s="267"/>
      <c r="G5" s="283" t="s">
        <v>2</v>
      </c>
      <c r="H5" s="284"/>
      <c r="I5" s="314" t="s">
        <v>0</v>
      </c>
      <c r="J5" s="314"/>
      <c r="K5" s="314"/>
      <c r="L5" s="306" t="s">
        <v>1</v>
      </c>
      <c r="M5" s="306"/>
      <c r="N5" s="307"/>
    </row>
    <row r="6" spans="1:14" ht="15" customHeight="1">
      <c r="A6" s="319"/>
      <c r="B6" s="316"/>
      <c r="C6" s="308"/>
      <c r="D6" s="289" t="s">
        <v>156</v>
      </c>
      <c r="E6" s="309" t="s">
        <v>6</v>
      </c>
      <c r="F6" s="310"/>
      <c r="G6" s="283" t="s">
        <v>158</v>
      </c>
      <c r="H6" s="304" t="s">
        <v>202</v>
      </c>
      <c r="I6" s="314" t="s">
        <v>4</v>
      </c>
      <c r="J6" s="314" t="s">
        <v>148</v>
      </c>
      <c r="K6" s="314" t="s">
        <v>153</v>
      </c>
      <c r="L6" s="314" t="s">
        <v>4</v>
      </c>
      <c r="M6" s="314" t="s">
        <v>148</v>
      </c>
      <c r="N6" s="314" t="s">
        <v>153</v>
      </c>
    </row>
    <row r="7" spans="1:14" ht="57" customHeight="1">
      <c r="A7" s="320"/>
      <c r="B7" s="317"/>
      <c r="C7" s="264"/>
      <c r="D7" s="264"/>
      <c r="E7" s="4" t="s">
        <v>157</v>
      </c>
      <c r="F7" s="12" t="s">
        <v>202</v>
      </c>
      <c r="G7" s="285"/>
      <c r="H7" s="305"/>
      <c r="I7" s="314"/>
      <c r="J7" s="314"/>
      <c r="K7" s="314"/>
      <c r="L7" s="314"/>
      <c r="M7" s="314"/>
      <c r="N7" s="314"/>
    </row>
    <row r="8" spans="1:14" s="220" customFormat="1" ht="12.75">
      <c r="A8" s="216">
        <v>1</v>
      </c>
      <c r="B8" s="28">
        <v>2</v>
      </c>
      <c r="C8" s="218">
        <v>3</v>
      </c>
      <c r="D8" s="218">
        <v>4</v>
      </c>
      <c r="E8" s="219">
        <v>5</v>
      </c>
      <c r="F8" s="219">
        <v>6</v>
      </c>
      <c r="G8" s="218">
        <v>7</v>
      </c>
      <c r="H8" s="218">
        <v>8</v>
      </c>
      <c r="I8" s="218">
        <v>9</v>
      </c>
      <c r="J8" s="218">
        <v>10</v>
      </c>
      <c r="K8" s="218">
        <v>11</v>
      </c>
      <c r="L8" s="218">
        <v>12</v>
      </c>
      <c r="M8" s="218">
        <v>13</v>
      </c>
      <c r="N8" s="218">
        <v>14</v>
      </c>
    </row>
    <row r="9" spans="1:14" ht="24" customHeight="1">
      <c r="A9" s="303" t="s">
        <v>36</v>
      </c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</row>
    <row r="10" spans="1:14" ht="54" customHeight="1">
      <c r="A10" s="199">
        <v>11010000</v>
      </c>
      <c r="B10" s="11" t="s">
        <v>13</v>
      </c>
      <c r="C10" s="178">
        <v>68921.5</v>
      </c>
      <c r="D10" s="177">
        <v>102041.7</v>
      </c>
      <c r="E10" s="178">
        <v>84645.9</v>
      </c>
      <c r="F10" s="179">
        <f>E10-'01.10'!E10</f>
        <v>8856.299999999988</v>
      </c>
      <c r="G10" s="178">
        <v>81495.2</v>
      </c>
      <c r="H10" s="179">
        <f>G10-'01.10'!G10</f>
        <v>7522.300000000003</v>
      </c>
      <c r="I10" s="200">
        <f>G10/C10*100</f>
        <v>118.24350891956792</v>
      </c>
      <c r="J10" s="200">
        <f>G10/D10*100</f>
        <v>79.86460437252614</v>
      </c>
      <c r="K10" s="200">
        <f>G10/E10*100</f>
        <v>96.27778781961086</v>
      </c>
      <c r="L10" s="178">
        <f>G10-C10</f>
        <v>12573.699999999997</v>
      </c>
      <c r="M10" s="178">
        <f>G10-D10</f>
        <v>-20546.5</v>
      </c>
      <c r="N10" s="178">
        <f>G10-E10</f>
        <v>-3150.699999999997</v>
      </c>
    </row>
    <row r="11" spans="1:14" ht="39">
      <c r="A11" s="199">
        <v>22010300</v>
      </c>
      <c r="B11" s="11" t="s">
        <v>10</v>
      </c>
      <c r="C11" s="178">
        <v>13.4</v>
      </c>
      <c r="D11" s="177">
        <v>16.5</v>
      </c>
      <c r="E11" s="178">
        <v>12.7</v>
      </c>
      <c r="F11" s="179">
        <f>E11-'01.10'!E11</f>
        <v>1.299999999999999</v>
      </c>
      <c r="G11" s="178">
        <v>11.6</v>
      </c>
      <c r="H11" s="179">
        <f>G11-'01.10'!G11</f>
        <v>1.5</v>
      </c>
      <c r="I11" s="200">
        <f>G11/C11*100</f>
        <v>86.56716417910447</v>
      </c>
      <c r="J11" s="200">
        <f>G11/D11*100</f>
        <v>70.3030303030303</v>
      </c>
      <c r="K11" s="200">
        <f>G11/E11*100</f>
        <v>91.33858267716536</v>
      </c>
      <c r="L11" s="178">
        <f>G11-C11</f>
        <v>-1.8000000000000007</v>
      </c>
      <c r="M11" s="178">
        <f>G11-D11</f>
        <v>-4.9</v>
      </c>
      <c r="N11" s="178">
        <f>G11-E11</f>
        <v>-1.0999999999999996</v>
      </c>
    </row>
    <row r="12" spans="1:14" ht="18.75" customHeight="1">
      <c r="A12" s="199">
        <v>22090000</v>
      </c>
      <c r="B12" s="11" t="s">
        <v>11</v>
      </c>
      <c r="C12" s="178">
        <v>49.5</v>
      </c>
      <c r="D12" s="177">
        <v>60</v>
      </c>
      <c r="E12" s="178">
        <v>50.6</v>
      </c>
      <c r="F12" s="179">
        <f>E12-'01.10'!E12</f>
        <v>6</v>
      </c>
      <c r="G12" s="178">
        <v>62.6</v>
      </c>
      <c r="H12" s="179">
        <f>G12-'01.10'!G12</f>
        <v>7.300000000000004</v>
      </c>
      <c r="I12" s="200">
        <f>G12/C12*100</f>
        <v>126.46464646464646</v>
      </c>
      <c r="J12" s="200">
        <f>G12/D12*100</f>
        <v>104.33333333333334</v>
      </c>
      <c r="K12" s="200">
        <f>G12/E12*100</f>
        <v>123.71541501976284</v>
      </c>
      <c r="L12" s="178">
        <f>G12-C12</f>
        <v>13.100000000000001</v>
      </c>
      <c r="M12" s="178">
        <f>G12-D12</f>
        <v>2.6000000000000014</v>
      </c>
      <c r="N12" s="178">
        <f>G12-E12</f>
        <v>12</v>
      </c>
    </row>
    <row r="13" spans="1:14" ht="30" customHeight="1">
      <c r="A13" s="301" t="s">
        <v>12</v>
      </c>
      <c r="B13" s="301"/>
      <c r="C13" s="180">
        <f aca="true" t="shared" si="0" ref="C13:H13">SUM(C10:C12)</f>
        <v>68984.4</v>
      </c>
      <c r="D13" s="180">
        <f t="shared" si="0"/>
        <v>102118.2</v>
      </c>
      <c r="E13" s="180">
        <f t="shared" si="0"/>
        <v>84709.2</v>
      </c>
      <c r="F13" s="180">
        <f t="shared" si="0"/>
        <v>8863.599999999988</v>
      </c>
      <c r="G13" s="180">
        <f t="shared" si="0"/>
        <v>81569.40000000001</v>
      </c>
      <c r="H13" s="180">
        <f t="shared" si="0"/>
        <v>7531.100000000003</v>
      </c>
      <c r="I13" s="201">
        <f>G13/C13*100</f>
        <v>118.2432549967819</v>
      </c>
      <c r="J13" s="201">
        <f>G13/D13*100</f>
        <v>79.87743614752317</v>
      </c>
      <c r="K13" s="201">
        <f>G13/E13*100</f>
        <v>96.29343684039043</v>
      </c>
      <c r="L13" s="180">
        <f>G13-C13</f>
        <v>12585.000000000015</v>
      </c>
      <c r="M13" s="180">
        <f>G13-D13</f>
        <v>-20548.79999999999</v>
      </c>
      <c r="N13" s="180">
        <f>G13-E13</f>
        <v>-3139.7999999999884</v>
      </c>
    </row>
    <row r="14" spans="1:14" ht="39">
      <c r="A14" s="202">
        <v>11010600</v>
      </c>
      <c r="B14" s="11" t="s">
        <v>14</v>
      </c>
      <c r="C14" s="178">
        <v>55.4</v>
      </c>
      <c r="D14" s="178">
        <v>0</v>
      </c>
      <c r="E14" s="178">
        <v>0</v>
      </c>
      <c r="F14" s="179">
        <f>E14-'01.10'!E14</f>
        <v>0</v>
      </c>
      <c r="G14" s="178">
        <v>-0.3</v>
      </c>
      <c r="H14" s="179">
        <f>G14-'01.10'!G14</f>
        <v>0.10000000000000003</v>
      </c>
      <c r="I14" s="200">
        <f aca="true" t="shared" si="1" ref="I14:I56">G14/C14*100</f>
        <v>-0.5415162454873645</v>
      </c>
      <c r="J14" s="200" t="e">
        <f aca="true" t="shared" si="2" ref="J14:J56">G14/D14*100</f>
        <v>#DIV/0!</v>
      </c>
      <c r="K14" s="200" t="e">
        <f>G14/E14*100</f>
        <v>#DIV/0!</v>
      </c>
      <c r="L14" s="178">
        <f aca="true" t="shared" si="3" ref="L14:L56">G14-C14</f>
        <v>-55.699999999999996</v>
      </c>
      <c r="M14" s="178">
        <f aca="true" t="shared" si="4" ref="M14:M56">G14-D14</f>
        <v>-0.3</v>
      </c>
      <c r="N14" s="178">
        <f aca="true" t="shared" si="5" ref="N14:N56">G14-E14</f>
        <v>-0.3</v>
      </c>
    </row>
    <row r="15" spans="1:14" ht="38.25">
      <c r="A15" s="203" t="s">
        <v>15</v>
      </c>
      <c r="B15" s="14" t="s">
        <v>16</v>
      </c>
      <c r="C15" s="178">
        <v>71.4</v>
      </c>
      <c r="D15" s="178">
        <v>100</v>
      </c>
      <c r="E15" s="178">
        <v>76.7</v>
      </c>
      <c r="F15" s="179">
        <f>E15-'01.10'!E15</f>
        <v>0</v>
      </c>
      <c r="G15" s="178">
        <v>211.2</v>
      </c>
      <c r="H15" s="179">
        <f>G15-'01.10'!G15</f>
        <v>6</v>
      </c>
      <c r="I15" s="200">
        <f t="shared" si="1"/>
        <v>295.79831932773106</v>
      </c>
      <c r="J15" s="200">
        <f t="shared" si="2"/>
        <v>211.20000000000002</v>
      </c>
      <c r="K15" s="200">
        <f aca="true" t="shared" si="6" ref="K15:K56">G15/E15*100</f>
        <v>275.3585397653194</v>
      </c>
      <c r="L15" s="178">
        <f t="shared" si="3"/>
        <v>139.79999999999998</v>
      </c>
      <c r="M15" s="178">
        <f t="shared" si="4"/>
        <v>111.19999999999999</v>
      </c>
      <c r="N15" s="178">
        <f t="shared" si="5"/>
        <v>134.5</v>
      </c>
    </row>
    <row r="16" spans="1:14" ht="15" customHeight="1">
      <c r="A16" s="204">
        <v>13050000</v>
      </c>
      <c r="B16" s="11" t="s">
        <v>17</v>
      </c>
      <c r="C16" s="178">
        <v>11719.4</v>
      </c>
      <c r="D16" s="178">
        <v>14200</v>
      </c>
      <c r="E16" s="178">
        <v>11451.3</v>
      </c>
      <c r="F16" s="179">
        <f>E16-'01.10'!E16</f>
        <v>1216.8999999999996</v>
      </c>
      <c r="G16" s="178">
        <v>12099.4</v>
      </c>
      <c r="H16" s="179">
        <f>G16-'01.10'!G16</f>
        <v>1222.6000000000004</v>
      </c>
      <c r="I16" s="200">
        <f t="shared" si="1"/>
        <v>103.24248681673123</v>
      </c>
      <c r="J16" s="200">
        <f t="shared" si="2"/>
        <v>85.20704225352112</v>
      </c>
      <c r="K16" s="200">
        <f t="shared" si="6"/>
        <v>105.6596194318549</v>
      </c>
      <c r="L16" s="178">
        <f t="shared" si="3"/>
        <v>380</v>
      </c>
      <c r="M16" s="178">
        <f t="shared" si="4"/>
        <v>-2100.6000000000004</v>
      </c>
      <c r="N16" s="178">
        <f t="shared" si="5"/>
        <v>648.1000000000004</v>
      </c>
    </row>
    <row r="17" spans="1:14" ht="26.25">
      <c r="A17" s="204">
        <v>18000000</v>
      </c>
      <c r="B17" s="11" t="s">
        <v>164</v>
      </c>
      <c r="C17" s="181">
        <f>SUM(C18:C20)</f>
        <v>198.9</v>
      </c>
      <c r="D17" s="181">
        <f>SUM(D18:D20)</f>
        <v>242</v>
      </c>
      <c r="E17" s="181">
        <f>SUM(E18:E20)</f>
        <v>201.1</v>
      </c>
      <c r="F17" s="179">
        <f>E17-'01.10'!E17</f>
        <v>21.69999999999999</v>
      </c>
      <c r="G17" s="181">
        <f>SUM(G18:G20)</f>
        <v>223.1</v>
      </c>
      <c r="H17" s="179">
        <f>G17-'01.10'!G17</f>
        <v>21.69999999999999</v>
      </c>
      <c r="I17" s="200">
        <f t="shared" si="1"/>
        <v>112.16691804927099</v>
      </c>
      <c r="J17" s="200">
        <f t="shared" si="2"/>
        <v>92.1900826446281</v>
      </c>
      <c r="K17" s="200">
        <f t="shared" si="6"/>
        <v>110.93983092988562</v>
      </c>
      <c r="L17" s="178">
        <f t="shared" si="3"/>
        <v>24.19999999999999</v>
      </c>
      <c r="M17" s="178">
        <f t="shared" si="4"/>
        <v>-18.900000000000006</v>
      </c>
      <c r="N17" s="178">
        <f t="shared" si="5"/>
        <v>22</v>
      </c>
    </row>
    <row r="18" spans="1:14" ht="15.75">
      <c r="A18" s="204">
        <v>18020000</v>
      </c>
      <c r="B18" s="10" t="s">
        <v>19</v>
      </c>
      <c r="C18" s="178">
        <v>0.1</v>
      </c>
      <c r="D18" s="178"/>
      <c r="E18" s="178">
        <v>0</v>
      </c>
      <c r="F18" s="179">
        <f>E18-'01.10'!E18</f>
        <v>0</v>
      </c>
      <c r="G18" s="178">
        <v>0</v>
      </c>
      <c r="H18" s="179">
        <f>G18-'01.10'!G18</f>
        <v>0</v>
      </c>
      <c r="I18" s="200">
        <f t="shared" si="1"/>
        <v>0</v>
      </c>
      <c r="J18" s="200" t="e">
        <f t="shared" si="2"/>
        <v>#DIV/0!</v>
      </c>
      <c r="K18" s="200" t="e">
        <f t="shared" si="6"/>
        <v>#DIV/0!</v>
      </c>
      <c r="L18" s="178">
        <f t="shared" si="3"/>
        <v>-0.1</v>
      </c>
      <c r="M18" s="178">
        <f t="shared" si="4"/>
        <v>0</v>
      </c>
      <c r="N18" s="178">
        <f t="shared" si="5"/>
        <v>0</v>
      </c>
    </row>
    <row r="19" spans="1:14" ht="15.75">
      <c r="A19" s="204">
        <v>18030000</v>
      </c>
      <c r="B19" s="10" t="s">
        <v>20</v>
      </c>
      <c r="C19" s="178">
        <v>2.4</v>
      </c>
      <c r="D19" s="178">
        <v>2</v>
      </c>
      <c r="E19" s="178">
        <v>1.7</v>
      </c>
      <c r="F19" s="179">
        <f>E19-'01.10'!E19</f>
        <v>0.19999999999999996</v>
      </c>
      <c r="G19" s="178">
        <v>8</v>
      </c>
      <c r="H19" s="179">
        <f>G19-'01.10'!G19</f>
        <v>1.2000000000000002</v>
      </c>
      <c r="I19" s="200">
        <f t="shared" si="1"/>
        <v>333.33333333333337</v>
      </c>
      <c r="J19" s="200">
        <f t="shared" si="2"/>
        <v>400</v>
      </c>
      <c r="K19" s="200">
        <f t="shared" si="6"/>
        <v>470.5882352941177</v>
      </c>
      <c r="L19" s="178">
        <f t="shared" si="3"/>
        <v>5.6</v>
      </c>
      <c r="M19" s="178">
        <f t="shared" si="4"/>
        <v>6</v>
      </c>
      <c r="N19" s="178">
        <f t="shared" si="5"/>
        <v>6.3</v>
      </c>
    </row>
    <row r="20" spans="1:14" ht="26.25">
      <c r="A20" s="204">
        <v>18040000</v>
      </c>
      <c r="B20" s="11" t="s">
        <v>21</v>
      </c>
      <c r="C20" s="178">
        <v>196.4</v>
      </c>
      <c r="D20" s="178">
        <v>240</v>
      </c>
      <c r="E20" s="178">
        <v>199.4</v>
      </c>
      <c r="F20" s="179">
        <f>E20-'01.10'!E20</f>
        <v>21.5</v>
      </c>
      <c r="G20" s="178">
        <v>215.1</v>
      </c>
      <c r="H20" s="179">
        <f>G20-'01.10'!G20</f>
        <v>20.5</v>
      </c>
      <c r="I20" s="200">
        <f t="shared" si="1"/>
        <v>109.5213849287169</v>
      </c>
      <c r="J20" s="200">
        <f t="shared" si="2"/>
        <v>89.625</v>
      </c>
      <c r="K20" s="200">
        <f t="shared" si="6"/>
        <v>107.87362086258776</v>
      </c>
      <c r="L20" s="178">
        <f t="shared" si="3"/>
        <v>18.69999999999999</v>
      </c>
      <c r="M20" s="178">
        <f t="shared" si="4"/>
        <v>-24.900000000000006</v>
      </c>
      <c r="N20" s="178">
        <f t="shared" si="5"/>
        <v>15.699999999999989</v>
      </c>
    </row>
    <row r="21" spans="1:14" ht="26.25">
      <c r="A21" s="204">
        <v>19040100</v>
      </c>
      <c r="B21" s="11" t="s">
        <v>41</v>
      </c>
      <c r="C21" s="178">
        <v>0.5</v>
      </c>
      <c r="D21" s="178">
        <v>0</v>
      </c>
      <c r="E21" s="178">
        <v>0</v>
      </c>
      <c r="F21" s="179">
        <f>E21-'01.10'!E21</f>
        <v>0</v>
      </c>
      <c r="G21" s="178">
        <v>0.7</v>
      </c>
      <c r="H21" s="179">
        <f>G21-'01.10'!G21</f>
        <v>0.29999999999999993</v>
      </c>
      <c r="I21" s="200">
        <f t="shared" si="1"/>
        <v>140</v>
      </c>
      <c r="J21" s="200" t="e">
        <f t="shared" si="2"/>
        <v>#DIV/0!</v>
      </c>
      <c r="K21" s="200" t="e">
        <f t="shared" si="6"/>
        <v>#DIV/0!</v>
      </c>
      <c r="L21" s="178">
        <f>G21-C21</f>
        <v>0.19999999999999996</v>
      </c>
      <c r="M21" s="178">
        <f>G21-D21</f>
        <v>0.7</v>
      </c>
      <c r="N21" s="178">
        <f>G21-E21</f>
        <v>0.7</v>
      </c>
    </row>
    <row r="22" spans="1:14" ht="51">
      <c r="A22" s="44" t="s">
        <v>26</v>
      </c>
      <c r="B22" s="8" t="s">
        <v>162</v>
      </c>
      <c r="C22" s="178">
        <v>1.1</v>
      </c>
      <c r="D22" s="178">
        <v>0</v>
      </c>
      <c r="E22" s="178">
        <v>0</v>
      </c>
      <c r="F22" s="179">
        <f>E22-'01.10'!E22</f>
        <v>0</v>
      </c>
      <c r="G22" s="178">
        <v>0.3</v>
      </c>
      <c r="H22" s="179">
        <f>G22-'01.10'!G22</f>
        <v>0</v>
      </c>
      <c r="I22" s="200">
        <f t="shared" si="1"/>
        <v>27.27272727272727</v>
      </c>
      <c r="J22" s="200" t="e">
        <f t="shared" si="2"/>
        <v>#DIV/0!</v>
      </c>
      <c r="K22" s="200" t="e">
        <f t="shared" si="6"/>
        <v>#DIV/0!</v>
      </c>
      <c r="L22" s="178">
        <f t="shared" si="3"/>
        <v>-0.8</v>
      </c>
      <c r="M22" s="178">
        <f t="shared" si="4"/>
        <v>0.3</v>
      </c>
      <c r="N22" s="178">
        <f t="shared" si="5"/>
        <v>0.3</v>
      </c>
    </row>
    <row r="23" spans="1:14" ht="15.75">
      <c r="A23" s="203" t="s">
        <v>24</v>
      </c>
      <c r="B23" s="9" t="s">
        <v>25</v>
      </c>
      <c r="C23" s="178">
        <v>30.3</v>
      </c>
      <c r="D23" s="178">
        <v>15</v>
      </c>
      <c r="E23" s="178">
        <v>12.2</v>
      </c>
      <c r="F23" s="179">
        <f>E23-'01.10'!E23</f>
        <v>1.1999999999999993</v>
      </c>
      <c r="G23" s="178">
        <v>18.1</v>
      </c>
      <c r="H23" s="179">
        <f>G23-'01.10'!G23</f>
        <v>0.40000000000000213</v>
      </c>
      <c r="I23" s="200">
        <f t="shared" si="1"/>
        <v>59.73597359735974</v>
      </c>
      <c r="J23" s="200">
        <f t="shared" si="2"/>
        <v>120.66666666666667</v>
      </c>
      <c r="K23" s="200">
        <f t="shared" si="6"/>
        <v>148.36065573770495</v>
      </c>
      <c r="L23" s="178">
        <f t="shared" si="3"/>
        <v>-12.2</v>
      </c>
      <c r="M23" s="178">
        <f t="shared" si="4"/>
        <v>3.1000000000000014</v>
      </c>
      <c r="N23" s="178">
        <f t="shared" si="5"/>
        <v>5.900000000000002</v>
      </c>
    </row>
    <row r="24" spans="1:14" ht="53.25" customHeight="1">
      <c r="A24" s="203" t="s">
        <v>22</v>
      </c>
      <c r="B24" s="18" t="s">
        <v>23</v>
      </c>
      <c r="C24" s="178">
        <v>524.8</v>
      </c>
      <c r="D24" s="178">
        <v>645</v>
      </c>
      <c r="E24" s="178">
        <v>531.9</v>
      </c>
      <c r="F24" s="179">
        <f>E24-'01.10'!E24</f>
        <v>56.39999999999998</v>
      </c>
      <c r="G24" s="178">
        <v>527</v>
      </c>
      <c r="H24" s="179">
        <f>G24-'01.10'!G24</f>
        <v>50</v>
      </c>
      <c r="I24" s="200">
        <f t="shared" si="1"/>
        <v>100.41920731707319</v>
      </c>
      <c r="J24" s="200">
        <f t="shared" si="2"/>
        <v>81.70542635658916</v>
      </c>
      <c r="K24" s="200">
        <f t="shared" si="6"/>
        <v>99.07877420567776</v>
      </c>
      <c r="L24" s="178">
        <f t="shared" si="3"/>
        <v>2.2000000000000455</v>
      </c>
      <c r="M24" s="178">
        <f t="shared" si="4"/>
        <v>-118</v>
      </c>
      <c r="N24" s="178">
        <f t="shared" si="5"/>
        <v>-4.899999999999977</v>
      </c>
    </row>
    <row r="25" spans="1:14" ht="31.5">
      <c r="A25" s="204" t="s">
        <v>55</v>
      </c>
      <c r="B25" s="10" t="s">
        <v>28</v>
      </c>
      <c r="C25" s="178">
        <v>173.9</v>
      </c>
      <c r="D25" s="178">
        <v>0</v>
      </c>
      <c r="E25" s="178">
        <v>0</v>
      </c>
      <c r="F25" s="179">
        <f>E25-'01.10'!E25</f>
        <v>0</v>
      </c>
      <c r="G25" s="178">
        <f>33.5+1.3</f>
        <v>34.8</v>
      </c>
      <c r="H25" s="179">
        <f>G25-'01.10'!G25</f>
        <v>2</v>
      </c>
      <c r="I25" s="200">
        <f t="shared" si="1"/>
        <v>20.01150086256469</v>
      </c>
      <c r="J25" s="200" t="e">
        <f t="shared" si="2"/>
        <v>#DIV/0!</v>
      </c>
      <c r="K25" s="200" t="e">
        <f t="shared" si="6"/>
        <v>#DIV/0!</v>
      </c>
      <c r="L25" s="178">
        <f t="shared" si="3"/>
        <v>-139.10000000000002</v>
      </c>
      <c r="M25" s="178">
        <f t="shared" si="4"/>
        <v>34.8</v>
      </c>
      <c r="N25" s="178">
        <f t="shared" si="5"/>
        <v>34.8</v>
      </c>
    </row>
    <row r="26" spans="1:14" ht="26.25">
      <c r="A26" s="204">
        <v>24060600</v>
      </c>
      <c r="B26" s="11" t="s">
        <v>29</v>
      </c>
      <c r="C26" s="178">
        <v>0</v>
      </c>
      <c r="D26" s="178">
        <v>0</v>
      </c>
      <c r="E26" s="178">
        <v>0</v>
      </c>
      <c r="F26" s="179">
        <f>E26-'01.10'!E26</f>
        <v>0</v>
      </c>
      <c r="G26" s="178">
        <v>0.1</v>
      </c>
      <c r="H26" s="179">
        <f>G26-'01.10'!G26</f>
        <v>0</v>
      </c>
      <c r="I26" s="200" t="e">
        <f t="shared" si="1"/>
        <v>#DIV/0!</v>
      </c>
      <c r="J26" s="200" t="e">
        <f t="shared" si="2"/>
        <v>#DIV/0!</v>
      </c>
      <c r="K26" s="200" t="e">
        <f t="shared" si="6"/>
        <v>#DIV/0!</v>
      </c>
      <c r="L26" s="178">
        <f t="shared" si="3"/>
        <v>0.1</v>
      </c>
      <c r="M26" s="178">
        <f t="shared" si="4"/>
        <v>0.1</v>
      </c>
      <c r="N26" s="178">
        <f t="shared" si="5"/>
        <v>0.1</v>
      </c>
    </row>
    <row r="27" spans="1:14" ht="64.5">
      <c r="A27" s="204">
        <v>31010200</v>
      </c>
      <c r="B27" s="11" t="s">
        <v>30</v>
      </c>
      <c r="C27" s="178">
        <v>5.7</v>
      </c>
      <c r="D27" s="178">
        <v>0</v>
      </c>
      <c r="E27" s="178">
        <v>0</v>
      </c>
      <c r="F27" s="179">
        <f>E27-'01.10'!E27</f>
        <v>0</v>
      </c>
      <c r="G27" s="178">
        <v>3.6</v>
      </c>
      <c r="H27" s="179">
        <f>G27-'01.10'!G27</f>
        <v>1.6</v>
      </c>
      <c r="I27" s="200">
        <f t="shared" si="1"/>
        <v>63.1578947368421</v>
      </c>
      <c r="J27" s="200" t="e">
        <f t="shared" si="2"/>
        <v>#DIV/0!</v>
      </c>
      <c r="K27" s="200" t="e">
        <f t="shared" si="6"/>
        <v>#DIV/0!</v>
      </c>
      <c r="L27" s="178">
        <f t="shared" si="3"/>
        <v>-2.1</v>
      </c>
      <c r="M27" s="178">
        <f t="shared" si="4"/>
        <v>3.6</v>
      </c>
      <c r="N27" s="178">
        <f t="shared" si="5"/>
        <v>3.6</v>
      </c>
    </row>
    <row r="28" spans="1:14" s="102" customFormat="1" ht="30" customHeight="1">
      <c r="A28" s="301" t="s">
        <v>31</v>
      </c>
      <c r="B28" s="301"/>
      <c r="C28" s="180">
        <f aca="true" t="shared" si="7" ref="C28:H28">SUM(C14:C27)-C17</f>
        <v>12781.399999999998</v>
      </c>
      <c r="D28" s="180">
        <f t="shared" si="7"/>
        <v>15202</v>
      </c>
      <c r="E28" s="180">
        <f t="shared" si="7"/>
        <v>12273.2</v>
      </c>
      <c r="F28" s="180">
        <f t="shared" si="7"/>
        <v>1296.1999999999996</v>
      </c>
      <c r="G28" s="180">
        <f>SUM(G14:G27)-G17</f>
        <v>13118</v>
      </c>
      <c r="H28" s="180">
        <f t="shared" si="7"/>
        <v>1304.7000000000003</v>
      </c>
      <c r="I28" s="201">
        <f t="shared" si="1"/>
        <v>102.63351432550427</v>
      </c>
      <c r="J28" s="201">
        <f t="shared" si="2"/>
        <v>86.29127746349164</v>
      </c>
      <c r="K28" s="201">
        <f t="shared" si="6"/>
        <v>106.88329042140599</v>
      </c>
      <c r="L28" s="180">
        <f t="shared" si="3"/>
        <v>336.6000000000022</v>
      </c>
      <c r="M28" s="180">
        <f t="shared" si="4"/>
        <v>-2084</v>
      </c>
      <c r="N28" s="180">
        <f t="shared" si="5"/>
        <v>844.7999999999993</v>
      </c>
    </row>
    <row r="29" spans="1:14" ht="25.5" customHeight="1">
      <c r="A29" s="299" t="s">
        <v>35</v>
      </c>
      <c r="B29" s="299"/>
      <c r="C29" s="22">
        <f aca="true" t="shared" si="8" ref="C29:H29">C13+C28</f>
        <v>81765.79999999999</v>
      </c>
      <c r="D29" s="22">
        <f t="shared" si="8"/>
        <v>117320.2</v>
      </c>
      <c r="E29" s="22">
        <f t="shared" si="8"/>
        <v>96982.4</v>
      </c>
      <c r="F29" s="22">
        <f t="shared" si="8"/>
        <v>10159.799999999987</v>
      </c>
      <c r="G29" s="22">
        <f t="shared" si="8"/>
        <v>94687.40000000001</v>
      </c>
      <c r="H29" s="22">
        <f t="shared" si="8"/>
        <v>8835.800000000003</v>
      </c>
      <c r="I29" s="25">
        <f t="shared" si="1"/>
        <v>115.8031842163839</v>
      </c>
      <c r="J29" s="25">
        <f t="shared" si="2"/>
        <v>80.7085224880285</v>
      </c>
      <c r="K29" s="25">
        <f t="shared" si="6"/>
        <v>97.63359124954633</v>
      </c>
      <c r="L29" s="22">
        <f t="shared" si="3"/>
        <v>12921.60000000002</v>
      </c>
      <c r="M29" s="22">
        <f t="shared" si="4"/>
        <v>-22632.79999999999</v>
      </c>
      <c r="N29" s="22">
        <f t="shared" si="5"/>
        <v>-2294.9999999999854</v>
      </c>
    </row>
    <row r="30" spans="1:14" ht="26.25">
      <c r="A30" s="205">
        <v>40000000</v>
      </c>
      <c r="B30" s="20" t="s">
        <v>32</v>
      </c>
      <c r="C30" s="180">
        <f aca="true" t="shared" si="9" ref="C30:H30">SUM(C31:C32)</f>
        <v>20205.300000000003</v>
      </c>
      <c r="D30" s="180">
        <f t="shared" si="9"/>
        <v>36367.5</v>
      </c>
      <c r="E30" s="180">
        <f t="shared" si="9"/>
        <v>29552.4</v>
      </c>
      <c r="F30" s="180">
        <f t="shared" si="9"/>
        <v>3803.099999999998</v>
      </c>
      <c r="G30" s="180">
        <f t="shared" si="9"/>
        <v>29440.7</v>
      </c>
      <c r="H30" s="180">
        <f t="shared" si="9"/>
        <v>3756.9000000000033</v>
      </c>
      <c r="I30" s="201">
        <f t="shared" si="1"/>
        <v>145.70780933715412</v>
      </c>
      <c r="J30" s="201">
        <f t="shared" si="2"/>
        <v>80.95332370935589</v>
      </c>
      <c r="K30" s="201">
        <f t="shared" si="6"/>
        <v>99.62202731419445</v>
      </c>
      <c r="L30" s="180">
        <f t="shared" si="3"/>
        <v>9235.399999999998</v>
      </c>
      <c r="M30" s="180">
        <f t="shared" si="4"/>
        <v>-6926.799999999999</v>
      </c>
      <c r="N30" s="180">
        <f t="shared" si="5"/>
        <v>-111.70000000000073</v>
      </c>
    </row>
    <row r="31" spans="1:14" ht="15.75">
      <c r="A31" s="206">
        <v>41020000</v>
      </c>
      <c r="B31" s="11" t="s">
        <v>33</v>
      </c>
      <c r="C31" s="178">
        <v>603.9</v>
      </c>
      <c r="D31" s="178">
        <v>7542</v>
      </c>
      <c r="E31" s="178">
        <v>4236.6</v>
      </c>
      <c r="F31" s="179">
        <f>E31-'01.10'!E31</f>
        <v>993.7000000000003</v>
      </c>
      <c r="G31" s="178">
        <v>4235</v>
      </c>
      <c r="H31" s="179">
        <f>G31-'01.10'!G31</f>
        <v>992.1000000000004</v>
      </c>
      <c r="I31" s="200">
        <f t="shared" si="1"/>
        <v>701.2750455373406</v>
      </c>
      <c r="J31" s="200">
        <f t="shared" si="2"/>
        <v>56.15221426677274</v>
      </c>
      <c r="K31" s="200">
        <f t="shared" si="6"/>
        <v>99.96223386677995</v>
      </c>
      <c r="L31" s="178">
        <f t="shared" si="3"/>
        <v>3631.1</v>
      </c>
      <c r="M31" s="178">
        <f t="shared" si="4"/>
        <v>-3307</v>
      </c>
      <c r="N31" s="178">
        <f t="shared" si="5"/>
        <v>-1.6000000000003638</v>
      </c>
    </row>
    <row r="32" spans="1:14" ht="15.75">
      <c r="A32" s="206">
        <v>41030000</v>
      </c>
      <c r="B32" s="11" t="s">
        <v>34</v>
      </c>
      <c r="C32" s="178">
        <v>19601.4</v>
      </c>
      <c r="D32" s="178">
        <v>28825.5</v>
      </c>
      <c r="E32" s="178">
        <v>25315.8</v>
      </c>
      <c r="F32" s="179">
        <f>E32-'01.10'!E32</f>
        <v>2809.399999999998</v>
      </c>
      <c r="G32" s="178">
        <v>25205.7</v>
      </c>
      <c r="H32" s="179">
        <f>G32-'01.10'!G32</f>
        <v>2764.800000000003</v>
      </c>
      <c r="I32" s="200">
        <f t="shared" si="1"/>
        <v>128.59132510943095</v>
      </c>
      <c r="J32" s="200">
        <f t="shared" si="2"/>
        <v>87.44236873601498</v>
      </c>
      <c r="K32" s="200">
        <f t="shared" si="6"/>
        <v>99.56509373592777</v>
      </c>
      <c r="L32" s="178">
        <f t="shared" si="3"/>
        <v>5604.299999999999</v>
      </c>
      <c r="M32" s="178">
        <f t="shared" si="4"/>
        <v>-3619.7999999999993</v>
      </c>
      <c r="N32" s="178">
        <f t="shared" si="5"/>
        <v>-110.09999999999854</v>
      </c>
    </row>
    <row r="33" spans="1:14" ht="40.5" customHeight="1">
      <c r="A33" s="302" t="s">
        <v>50</v>
      </c>
      <c r="B33" s="302"/>
      <c r="C33" s="23">
        <f aca="true" t="shared" si="10" ref="C33:H33">C29+C30</f>
        <v>101971.09999999999</v>
      </c>
      <c r="D33" s="23">
        <f>D29+D30</f>
        <v>153687.7</v>
      </c>
      <c r="E33" s="23">
        <f t="shared" si="10"/>
        <v>126534.79999999999</v>
      </c>
      <c r="F33" s="23">
        <f t="shared" si="10"/>
        <v>13962.899999999985</v>
      </c>
      <c r="G33" s="23">
        <f t="shared" si="10"/>
        <v>124128.1</v>
      </c>
      <c r="H33" s="23">
        <f t="shared" si="10"/>
        <v>12592.700000000006</v>
      </c>
      <c r="I33" s="26">
        <f t="shared" si="1"/>
        <v>121.72870548616228</v>
      </c>
      <c r="J33" s="26">
        <f t="shared" si="2"/>
        <v>80.76645040559524</v>
      </c>
      <c r="K33" s="26">
        <f t="shared" si="6"/>
        <v>98.0979935954378</v>
      </c>
      <c r="L33" s="23">
        <f t="shared" si="3"/>
        <v>22157.000000000015</v>
      </c>
      <c r="M33" s="23">
        <f t="shared" si="4"/>
        <v>-29559.600000000006</v>
      </c>
      <c r="N33" s="23">
        <f t="shared" si="5"/>
        <v>-2406.6999999999825</v>
      </c>
    </row>
    <row r="34" spans="1:14" ht="24" customHeight="1">
      <c r="A34" s="300" t="s">
        <v>37</v>
      </c>
      <c r="B34" s="300"/>
      <c r="C34" s="300"/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300"/>
    </row>
    <row r="35" spans="1:14" ht="27.75" customHeight="1">
      <c r="A35" s="301" t="s">
        <v>165</v>
      </c>
      <c r="B35" s="301"/>
      <c r="C35" s="180">
        <f aca="true" t="shared" si="11" ref="C35:H35">SUM(C36:C38)</f>
        <v>212.49999999999997</v>
      </c>
      <c r="D35" s="180">
        <f t="shared" si="11"/>
        <v>149</v>
      </c>
      <c r="E35" s="180">
        <f t="shared" si="11"/>
        <v>140.3</v>
      </c>
      <c r="F35" s="180">
        <f t="shared" si="11"/>
        <v>104.5</v>
      </c>
      <c r="G35" s="180">
        <f t="shared" si="11"/>
        <v>170.39999999999998</v>
      </c>
      <c r="H35" s="180">
        <f t="shared" si="11"/>
        <v>12.300000000000004</v>
      </c>
      <c r="I35" s="207">
        <f t="shared" si="1"/>
        <v>80.18823529411765</v>
      </c>
      <c r="J35" s="207">
        <f t="shared" si="2"/>
        <v>114.36241610738253</v>
      </c>
      <c r="K35" s="207">
        <f t="shared" si="6"/>
        <v>121.45402708481822</v>
      </c>
      <c r="L35" s="208">
        <f t="shared" si="3"/>
        <v>-42.099999999999994</v>
      </c>
      <c r="M35" s="208">
        <f t="shared" si="4"/>
        <v>21.399999999999977</v>
      </c>
      <c r="N35" s="208">
        <f t="shared" si="5"/>
        <v>30.099999999999966</v>
      </c>
    </row>
    <row r="36" spans="1:14" ht="26.25">
      <c r="A36" s="204">
        <v>12020000</v>
      </c>
      <c r="B36" s="11" t="s">
        <v>38</v>
      </c>
      <c r="C36" s="178">
        <f>169.5+0.2</f>
        <v>169.7</v>
      </c>
      <c r="D36" s="178">
        <v>59</v>
      </c>
      <c r="E36" s="178">
        <v>59</v>
      </c>
      <c r="F36" s="179">
        <f>E36-'01.10'!E36</f>
        <v>59</v>
      </c>
      <c r="G36" s="178">
        <v>68</v>
      </c>
      <c r="H36" s="179">
        <f>G36-'01.10'!G36</f>
        <v>0</v>
      </c>
      <c r="I36" s="200">
        <f t="shared" si="1"/>
        <v>40.070713022981735</v>
      </c>
      <c r="J36" s="200">
        <f t="shared" si="2"/>
        <v>115.2542372881356</v>
      </c>
      <c r="K36" s="200">
        <f t="shared" si="6"/>
        <v>115.2542372881356</v>
      </c>
      <c r="L36" s="178">
        <f t="shared" si="3"/>
        <v>-101.69999999999999</v>
      </c>
      <c r="M36" s="178">
        <f t="shared" si="4"/>
        <v>9</v>
      </c>
      <c r="N36" s="178">
        <f t="shared" si="5"/>
        <v>9</v>
      </c>
    </row>
    <row r="37" spans="1:14" ht="26.25">
      <c r="A37" s="204">
        <v>12030000</v>
      </c>
      <c r="B37" s="11" t="s">
        <v>39</v>
      </c>
      <c r="C37" s="178">
        <v>21.2</v>
      </c>
      <c r="D37" s="178">
        <v>59.7</v>
      </c>
      <c r="E37" s="178">
        <v>55</v>
      </c>
      <c r="F37" s="179">
        <f>E37-'01.10'!E37</f>
        <v>37.2</v>
      </c>
      <c r="G37" s="178">
        <v>70.2</v>
      </c>
      <c r="H37" s="179">
        <f>G37-'01.10'!G37</f>
        <v>10.5</v>
      </c>
      <c r="I37" s="200">
        <f>G37/C37*100</f>
        <v>331.1320754716981</v>
      </c>
      <c r="J37" s="200">
        <f>G37/D37*100</f>
        <v>117.58793969849246</v>
      </c>
      <c r="K37" s="200">
        <f>G37/E37*100</f>
        <v>127.63636363636364</v>
      </c>
      <c r="L37" s="178">
        <f t="shared" si="3"/>
        <v>49</v>
      </c>
      <c r="M37" s="178">
        <f t="shared" si="4"/>
        <v>10.5</v>
      </c>
      <c r="N37" s="178">
        <f t="shared" si="5"/>
        <v>15.200000000000003</v>
      </c>
    </row>
    <row r="38" spans="1:14" ht="79.5" customHeight="1">
      <c r="A38" s="204">
        <v>18041500</v>
      </c>
      <c r="B38" s="11" t="s">
        <v>40</v>
      </c>
      <c r="C38" s="178">
        <v>21.6</v>
      </c>
      <c r="D38" s="178">
        <v>30.3</v>
      </c>
      <c r="E38" s="178">
        <v>26.3</v>
      </c>
      <c r="F38" s="179">
        <f>E38-'01.10'!E38</f>
        <v>8.3</v>
      </c>
      <c r="G38" s="178">
        <v>32.2</v>
      </c>
      <c r="H38" s="179">
        <f>G38-'01.10'!G38</f>
        <v>1.8000000000000043</v>
      </c>
      <c r="I38" s="200">
        <f>G38/C38*100</f>
        <v>149.07407407407408</v>
      </c>
      <c r="J38" s="200">
        <f>G38/D38*100</f>
        <v>106.27062706270627</v>
      </c>
      <c r="K38" s="200">
        <f>G38/E38*100</f>
        <v>122.43346007604563</v>
      </c>
      <c r="L38" s="178">
        <f t="shared" si="3"/>
        <v>10.600000000000001</v>
      </c>
      <c r="M38" s="178">
        <f t="shared" si="4"/>
        <v>1.9000000000000021</v>
      </c>
      <c r="N38" s="178">
        <f t="shared" si="5"/>
        <v>5.900000000000002</v>
      </c>
    </row>
    <row r="39" spans="1:14" ht="28.5" customHeight="1">
      <c r="A39" s="301" t="s">
        <v>166</v>
      </c>
      <c r="B39" s="301"/>
      <c r="C39" s="208">
        <f aca="true" t="shared" si="12" ref="C39:H39">SUM(C40:C42)</f>
        <v>127.89999999999999</v>
      </c>
      <c r="D39" s="208">
        <f t="shared" si="12"/>
        <v>200</v>
      </c>
      <c r="E39" s="208">
        <f t="shared" si="12"/>
        <v>150</v>
      </c>
      <c r="F39" s="208">
        <f t="shared" si="12"/>
        <v>0</v>
      </c>
      <c r="G39" s="208">
        <f t="shared" si="12"/>
        <v>147.9</v>
      </c>
      <c r="H39" s="208">
        <f t="shared" si="12"/>
        <v>0.10000000000002274</v>
      </c>
      <c r="I39" s="207">
        <f t="shared" si="1"/>
        <v>115.63721657544959</v>
      </c>
      <c r="J39" s="207">
        <f t="shared" si="2"/>
        <v>73.95</v>
      </c>
      <c r="K39" s="207">
        <f t="shared" si="6"/>
        <v>98.6</v>
      </c>
      <c r="L39" s="208">
        <f t="shared" si="3"/>
        <v>20.000000000000014</v>
      </c>
      <c r="M39" s="208">
        <f t="shared" si="4"/>
        <v>-52.099999999999994</v>
      </c>
      <c r="N39" s="208">
        <f t="shared" si="5"/>
        <v>-2.0999999999999943</v>
      </c>
    </row>
    <row r="40" spans="1:14" ht="15.75">
      <c r="A40" s="204">
        <v>19010000</v>
      </c>
      <c r="B40" s="11" t="s">
        <v>42</v>
      </c>
      <c r="C40" s="178">
        <v>110.1</v>
      </c>
      <c r="D40" s="178">
        <v>200</v>
      </c>
      <c r="E40" s="178">
        <v>150</v>
      </c>
      <c r="F40" s="179">
        <f>E40-'01.10'!E40</f>
        <v>0</v>
      </c>
      <c r="G40" s="178">
        <v>147.8</v>
      </c>
      <c r="H40" s="179">
        <f>G40-'01.10'!G40</f>
        <v>0.10000000000002274</v>
      </c>
      <c r="I40" s="200">
        <f t="shared" si="1"/>
        <v>134.2415985467757</v>
      </c>
      <c r="J40" s="200">
        <f t="shared" si="2"/>
        <v>73.9</v>
      </c>
      <c r="K40" s="200">
        <f t="shared" si="6"/>
        <v>98.53333333333335</v>
      </c>
      <c r="L40" s="178">
        <f t="shared" si="3"/>
        <v>37.70000000000002</v>
      </c>
      <c r="M40" s="178">
        <f t="shared" si="4"/>
        <v>-52.19999999999999</v>
      </c>
      <c r="N40" s="178">
        <f t="shared" si="5"/>
        <v>-2.1999999999999886</v>
      </c>
    </row>
    <row r="41" spans="1:14" ht="26.25">
      <c r="A41" s="204">
        <v>19050000</v>
      </c>
      <c r="B41" s="11" t="s">
        <v>43</v>
      </c>
      <c r="C41" s="178">
        <v>16.5</v>
      </c>
      <c r="D41" s="178">
        <v>0</v>
      </c>
      <c r="E41" s="178">
        <v>0</v>
      </c>
      <c r="F41" s="179">
        <f>E41-'01.10'!E41</f>
        <v>0</v>
      </c>
      <c r="G41" s="178">
        <v>0.1</v>
      </c>
      <c r="H41" s="179">
        <f>G41-'01.10'!G41</f>
        <v>0</v>
      </c>
      <c r="I41" s="200">
        <f t="shared" si="1"/>
        <v>0.6060606060606061</v>
      </c>
      <c r="J41" s="200" t="e">
        <f t="shared" si="2"/>
        <v>#DIV/0!</v>
      </c>
      <c r="K41" s="200" t="e">
        <f t="shared" si="6"/>
        <v>#DIV/0!</v>
      </c>
      <c r="L41" s="178">
        <f t="shared" si="3"/>
        <v>-16.4</v>
      </c>
      <c r="M41" s="178">
        <f t="shared" si="4"/>
        <v>0.1</v>
      </c>
      <c r="N41" s="178">
        <f t="shared" si="5"/>
        <v>0.1</v>
      </c>
    </row>
    <row r="42" spans="1:14" ht="64.5">
      <c r="A42" s="204">
        <v>24062100</v>
      </c>
      <c r="B42" s="11" t="s">
        <v>56</v>
      </c>
      <c r="C42" s="178">
        <v>1.3</v>
      </c>
      <c r="D42" s="178">
        <v>0</v>
      </c>
      <c r="E42" s="178">
        <v>0</v>
      </c>
      <c r="F42" s="179">
        <f>E42-'01.10'!E42</f>
        <v>0</v>
      </c>
      <c r="G42" s="178">
        <v>0</v>
      </c>
      <c r="H42" s="179">
        <f>G42-'01.10'!G42</f>
        <v>0</v>
      </c>
      <c r="I42" s="200">
        <f t="shared" si="1"/>
        <v>0</v>
      </c>
      <c r="J42" s="200" t="e">
        <f t="shared" si="2"/>
        <v>#DIV/0!</v>
      </c>
      <c r="K42" s="200" t="e">
        <f t="shared" si="6"/>
        <v>#DIV/0!</v>
      </c>
      <c r="L42" s="178">
        <f t="shared" si="3"/>
        <v>-1.3</v>
      </c>
      <c r="M42" s="178">
        <f t="shared" si="4"/>
        <v>0</v>
      </c>
      <c r="N42" s="178">
        <f t="shared" si="5"/>
        <v>0</v>
      </c>
    </row>
    <row r="43" spans="1:14" ht="30.75" customHeight="1">
      <c r="A43" s="301" t="s">
        <v>167</v>
      </c>
      <c r="B43" s="301"/>
      <c r="C43" s="208">
        <f aca="true" t="shared" si="13" ref="C43:H43">SUM(C44:C47)</f>
        <v>1666</v>
      </c>
      <c r="D43" s="208">
        <f t="shared" si="13"/>
        <v>2228.2</v>
      </c>
      <c r="E43" s="208">
        <f>SUM(E44:E47)</f>
        <v>1927.7</v>
      </c>
      <c r="F43" s="208">
        <f t="shared" si="13"/>
        <v>321.29999999999995</v>
      </c>
      <c r="G43" s="208">
        <f t="shared" si="13"/>
        <v>2584.2999999999997</v>
      </c>
      <c r="H43" s="208">
        <f t="shared" si="13"/>
        <v>327.2999999999999</v>
      </c>
      <c r="I43" s="207">
        <f t="shared" si="1"/>
        <v>155.12004801920767</v>
      </c>
      <c r="J43" s="207">
        <f t="shared" si="2"/>
        <v>115.98150973880261</v>
      </c>
      <c r="K43" s="207">
        <f t="shared" si="6"/>
        <v>134.06131659490583</v>
      </c>
      <c r="L43" s="208">
        <f t="shared" si="3"/>
        <v>918.2999999999997</v>
      </c>
      <c r="M43" s="208">
        <f t="shared" si="4"/>
        <v>356.0999999999999</v>
      </c>
      <c r="N43" s="208">
        <f t="shared" si="5"/>
        <v>656.5999999999997</v>
      </c>
    </row>
    <row r="44" spans="1:14" ht="15.75">
      <c r="A44" s="204">
        <v>18050000</v>
      </c>
      <c r="B44" s="11" t="s">
        <v>44</v>
      </c>
      <c r="C44" s="178">
        <v>1627.5</v>
      </c>
      <c r="D44" s="178">
        <v>2228.2</v>
      </c>
      <c r="E44" s="178">
        <v>1927.7</v>
      </c>
      <c r="F44" s="179">
        <f>E44-'01.10'!E44</f>
        <v>321.29999999999995</v>
      </c>
      <c r="G44" s="178">
        <v>2566.2</v>
      </c>
      <c r="H44" s="179">
        <f>G44-'01.10'!G44</f>
        <v>317.5999999999999</v>
      </c>
      <c r="I44" s="209">
        <f t="shared" si="1"/>
        <v>157.6774193548387</v>
      </c>
      <c r="J44" s="209">
        <f t="shared" si="2"/>
        <v>115.16919486581097</v>
      </c>
      <c r="K44" s="209">
        <f t="shared" si="6"/>
        <v>133.12237381335268</v>
      </c>
      <c r="L44" s="210">
        <f t="shared" si="3"/>
        <v>938.6999999999998</v>
      </c>
      <c r="M44" s="210">
        <f t="shared" si="4"/>
        <v>338</v>
      </c>
      <c r="N44" s="210">
        <f t="shared" si="5"/>
        <v>638.4999999999998</v>
      </c>
    </row>
    <row r="45" spans="1:14" ht="39">
      <c r="A45" s="204">
        <v>24170000</v>
      </c>
      <c r="B45" s="11" t="s">
        <v>196</v>
      </c>
      <c r="C45" s="178">
        <v>0</v>
      </c>
      <c r="D45" s="178">
        <v>0</v>
      </c>
      <c r="E45" s="178">
        <v>0</v>
      </c>
      <c r="F45" s="179">
        <f>E45-'01.10'!E45</f>
        <v>0</v>
      </c>
      <c r="G45" s="178">
        <v>18</v>
      </c>
      <c r="H45" s="179">
        <f>G45-'01.10'!G45</f>
        <v>9.7</v>
      </c>
      <c r="I45" s="209" t="e">
        <f t="shared" si="1"/>
        <v>#DIV/0!</v>
      </c>
      <c r="J45" s="209" t="e">
        <f t="shared" si="2"/>
        <v>#DIV/0!</v>
      </c>
      <c r="K45" s="209" t="e">
        <f t="shared" si="6"/>
        <v>#DIV/0!</v>
      </c>
      <c r="L45" s="210">
        <f t="shared" si="3"/>
        <v>18</v>
      </c>
      <c r="M45" s="210">
        <f t="shared" si="4"/>
        <v>18</v>
      </c>
      <c r="N45" s="210">
        <f t="shared" si="5"/>
        <v>18</v>
      </c>
    </row>
    <row r="46" spans="1:14" ht="39">
      <c r="A46" s="206">
        <v>31030000</v>
      </c>
      <c r="B46" s="11" t="s">
        <v>45</v>
      </c>
      <c r="C46" s="178">
        <v>0</v>
      </c>
      <c r="D46" s="178">
        <v>0</v>
      </c>
      <c r="E46" s="178">
        <v>0</v>
      </c>
      <c r="F46" s="179">
        <f>E46-'01.10'!E46</f>
        <v>0</v>
      </c>
      <c r="G46" s="178">
        <v>0.1</v>
      </c>
      <c r="H46" s="179">
        <f>G46-'01.10'!G46</f>
        <v>0</v>
      </c>
      <c r="I46" s="209" t="e">
        <f t="shared" si="1"/>
        <v>#DIV/0!</v>
      </c>
      <c r="J46" s="209" t="e">
        <f t="shared" si="2"/>
        <v>#DIV/0!</v>
      </c>
      <c r="K46" s="209" t="e">
        <f t="shared" si="6"/>
        <v>#DIV/0!</v>
      </c>
      <c r="L46" s="210">
        <f t="shared" si="3"/>
        <v>0.1</v>
      </c>
      <c r="M46" s="210">
        <f t="shared" si="4"/>
        <v>0.1</v>
      </c>
      <c r="N46" s="210">
        <f t="shared" si="5"/>
        <v>0.1</v>
      </c>
    </row>
    <row r="47" spans="1:14" ht="15.75">
      <c r="A47" s="206">
        <v>33010000</v>
      </c>
      <c r="B47" s="11" t="s">
        <v>46</v>
      </c>
      <c r="C47" s="178">
        <v>38.5</v>
      </c>
      <c r="D47" s="178">
        <v>0</v>
      </c>
      <c r="E47" s="178">
        <v>0</v>
      </c>
      <c r="F47" s="179">
        <f>E47-'01.10'!E47</f>
        <v>0</v>
      </c>
      <c r="G47" s="178">
        <v>0</v>
      </c>
      <c r="H47" s="179">
        <f>G47-'01.10'!G47</f>
        <v>0</v>
      </c>
      <c r="I47" s="209">
        <f t="shared" si="1"/>
        <v>0</v>
      </c>
      <c r="J47" s="209" t="e">
        <f t="shared" si="2"/>
        <v>#DIV/0!</v>
      </c>
      <c r="K47" s="209" t="e">
        <f t="shared" si="6"/>
        <v>#DIV/0!</v>
      </c>
      <c r="L47" s="210">
        <f t="shared" si="3"/>
        <v>-38.5</v>
      </c>
      <c r="M47" s="210">
        <f t="shared" si="4"/>
        <v>0</v>
      </c>
      <c r="N47" s="210">
        <f t="shared" si="5"/>
        <v>0</v>
      </c>
    </row>
    <row r="48" spans="1:14" ht="17.25" customHeight="1">
      <c r="A48" s="297" t="s">
        <v>199</v>
      </c>
      <c r="B48" s="297"/>
      <c r="C48" s="208">
        <v>69.1</v>
      </c>
      <c r="D48" s="208">
        <v>381.5</v>
      </c>
      <c r="E48" s="208">
        <v>381.5</v>
      </c>
      <c r="F48" s="208">
        <f>E48-'01.10'!E48</f>
        <v>0</v>
      </c>
      <c r="G48" s="208">
        <v>393.5</v>
      </c>
      <c r="H48" s="208">
        <f>G48-'01.10'!G48</f>
        <v>-1.3999999999999773</v>
      </c>
      <c r="I48" s="207">
        <f>G48/C48*100</f>
        <v>569.4645441389292</v>
      </c>
      <c r="J48" s="207">
        <f>G48/D48*100</f>
        <v>103.14547837483616</v>
      </c>
      <c r="K48" s="207">
        <f>G48/E48*100</f>
        <v>103.14547837483616</v>
      </c>
      <c r="L48" s="208">
        <f t="shared" si="3"/>
        <v>324.4</v>
      </c>
      <c r="M48" s="208">
        <f t="shared" si="4"/>
        <v>12</v>
      </c>
      <c r="N48" s="208">
        <f t="shared" si="5"/>
        <v>12</v>
      </c>
    </row>
    <row r="49" spans="1:14" ht="22.5" customHeight="1">
      <c r="A49" s="211" t="s">
        <v>51</v>
      </c>
      <c r="B49" s="21"/>
      <c r="C49" s="208">
        <v>3146.2</v>
      </c>
      <c r="D49" s="208">
        <v>3810.1</v>
      </c>
      <c r="E49" s="208">
        <v>3175.1</v>
      </c>
      <c r="F49" s="208">
        <f>E49-'01.10'!E49</f>
        <v>317.5250000000001</v>
      </c>
      <c r="G49" s="208">
        <f>799.2+2648.9</f>
        <v>3448.1000000000004</v>
      </c>
      <c r="H49" s="208">
        <f>G49-'01.10'!G49</f>
        <v>464.7000000000003</v>
      </c>
      <c r="I49" s="207">
        <f>G49/C49*100</f>
        <v>109.59570275252688</v>
      </c>
      <c r="J49" s="207">
        <f>G49/D49*100</f>
        <v>90.49893703577335</v>
      </c>
      <c r="K49" s="207">
        <f>G49/E49*100</f>
        <v>108.59815438883815</v>
      </c>
      <c r="L49" s="208">
        <f>G49-C49</f>
        <v>301.90000000000055</v>
      </c>
      <c r="M49" s="208">
        <f>G49-D49</f>
        <v>-361.99999999999955</v>
      </c>
      <c r="N49" s="208">
        <f>G49-E49</f>
        <v>273.00000000000045</v>
      </c>
    </row>
    <row r="50" spans="1:14" ht="24.75" customHeight="1">
      <c r="A50" s="19" t="s">
        <v>48</v>
      </c>
      <c r="B50" s="217"/>
      <c r="C50" s="22">
        <f aca="true" t="shared" si="14" ref="C50:H50">C35+C39+C43+C48+C49</f>
        <v>5221.7</v>
      </c>
      <c r="D50" s="22">
        <f t="shared" si="14"/>
        <v>6768.799999999999</v>
      </c>
      <c r="E50" s="22">
        <f t="shared" si="14"/>
        <v>5774.6</v>
      </c>
      <c r="F50" s="22">
        <f t="shared" si="14"/>
        <v>743.325</v>
      </c>
      <c r="G50" s="22">
        <f t="shared" si="14"/>
        <v>6744.2</v>
      </c>
      <c r="H50" s="22">
        <f t="shared" si="14"/>
        <v>803.0000000000002</v>
      </c>
      <c r="I50" s="25">
        <f>G50/C50*100</f>
        <v>129.15717103625258</v>
      </c>
      <c r="J50" s="25">
        <f>G50/D50*100</f>
        <v>99.63656778158611</v>
      </c>
      <c r="K50" s="25">
        <f>G50/E50*100</f>
        <v>116.79077338690125</v>
      </c>
      <c r="L50" s="22">
        <f>G50-C50</f>
        <v>1522.5</v>
      </c>
      <c r="M50" s="22">
        <f>G50-D50</f>
        <v>-24.599999999999454</v>
      </c>
      <c r="N50" s="22">
        <f>G50-E50</f>
        <v>969.5999999999995</v>
      </c>
    </row>
    <row r="51" spans="1:14" ht="28.5" customHeight="1">
      <c r="A51" s="205">
        <v>40000000</v>
      </c>
      <c r="B51" s="20" t="s">
        <v>32</v>
      </c>
      <c r="C51" s="180">
        <f aca="true" t="shared" si="15" ref="C51:H51">SUM(C52:C54)</f>
        <v>3008.7</v>
      </c>
      <c r="D51" s="180">
        <f t="shared" si="15"/>
        <v>6271.2</v>
      </c>
      <c r="E51" s="180">
        <f t="shared" si="15"/>
        <v>5089.8</v>
      </c>
      <c r="F51" s="180">
        <f t="shared" si="15"/>
        <v>538.3</v>
      </c>
      <c r="G51" s="180">
        <f t="shared" si="15"/>
        <v>5089.8</v>
      </c>
      <c r="H51" s="180">
        <f t="shared" si="15"/>
        <v>538.3</v>
      </c>
      <c r="I51" s="201">
        <f t="shared" si="1"/>
        <v>169.1694087147273</v>
      </c>
      <c r="J51" s="201">
        <f t="shared" si="2"/>
        <v>81.16150019135094</v>
      </c>
      <c r="K51" s="201">
        <f t="shared" si="6"/>
        <v>100</v>
      </c>
      <c r="L51" s="180">
        <f t="shared" si="3"/>
        <v>2081.1000000000004</v>
      </c>
      <c r="M51" s="180">
        <f t="shared" si="4"/>
        <v>-1181.3999999999996</v>
      </c>
      <c r="N51" s="180">
        <f t="shared" si="5"/>
        <v>0</v>
      </c>
    </row>
    <row r="52" spans="1:14" ht="67.5" customHeight="1">
      <c r="A52" s="206">
        <v>41034401</v>
      </c>
      <c r="B52" s="11" t="s">
        <v>161</v>
      </c>
      <c r="C52" s="210">
        <v>0</v>
      </c>
      <c r="D52" s="210">
        <v>1136.1</v>
      </c>
      <c r="E52" s="210">
        <v>926.2</v>
      </c>
      <c r="F52" s="179">
        <f>E52-'01.10'!E52</f>
        <v>108.90000000000009</v>
      </c>
      <c r="G52" s="210">
        <v>926.2</v>
      </c>
      <c r="H52" s="179">
        <f>G52-'01.10'!G52</f>
        <v>108.90000000000009</v>
      </c>
      <c r="I52" s="209" t="e">
        <f t="shared" si="1"/>
        <v>#DIV/0!</v>
      </c>
      <c r="J52" s="209">
        <f t="shared" si="2"/>
        <v>81.52451368717544</v>
      </c>
      <c r="K52" s="209">
        <f t="shared" si="6"/>
        <v>100</v>
      </c>
      <c r="L52" s="210">
        <f t="shared" si="3"/>
        <v>926.2</v>
      </c>
      <c r="M52" s="210">
        <f t="shared" si="4"/>
        <v>-209.89999999999986</v>
      </c>
      <c r="N52" s="210">
        <f t="shared" si="5"/>
        <v>0</v>
      </c>
    </row>
    <row r="53" spans="1:14" ht="21.75" customHeight="1">
      <c r="A53" s="206">
        <v>41035001</v>
      </c>
      <c r="B53" s="11" t="s">
        <v>163</v>
      </c>
      <c r="C53" s="210">
        <v>0</v>
      </c>
      <c r="D53" s="210">
        <v>505.3</v>
      </c>
      <c r="E53" s="210">
        <v>407</v>
      </c>
      <c r="F53" s="179">
        <f>E53-'01.10'!E53</f>
        <v>49.30000000000001</v>
      </c>
      <c r="G53" s="210">
        <v>407</v>
      </c>
      <c r="H53" s="179">
        <f>G53-'01.10'!G53</f>
        <v>49.30000000000001</v>
      </c>
      <c r="I53" s="209" t="e">
        <f>G53/C53*100</f>
        <v>#DIV/0!</v>
      </c>
      <c r="J53" s="209">
        <f>G53/D53*100</f>
        <v>80.54621017217495</v>
      </c>
      <c r="K53" s="209">
        <f>G53/E53*100</f>
        <v>100</v>
      </c>
      <c r="L53" s="210">
        <f>G53-C53</f>
        <v>407</v>
      </c>
      <c r="M53" s="210">
        <f>G53-D53</f>
        <v>-98.30000000000001</v>
      </c>
      <c r="N53" s="210">
        <f>G53-E53</f>
        <v>0</v>
      </c>
    </row>
    <row r="54" spans="1:14" ht="87.75" customHeight="1">
      <c r="A54" s="206">
        <v>41035101</v>
      </c>
      <c r="B54" s="11" t="s">
        <v>49</v>
      </c>
      <c r="C54" s="210">
        <v>3008.7</v>
      </c>
      <c r="D54" s="210">
        <v>4629.8</v>
      </c>
      <c r="E54" s="210">
        <v>3756.6</v>
      </c>
      <c r="F54" s="179">
        <f>E54-'01.10'!E54</f>
        <v>380.0999999999999</v>
      </c>
      <c r="G54" s="210">
        <v>3756.6</v>
      </c>
      <c r="H54" s="179">
        <f>G54-'01.10'!G54</f>
        <v>380.0999999999999</v>
      </c>
      <c r="I54" s="209">
        <f>G54/C54*100</f>
        <v>124.85791205504037</v>
      </c>
      <c r="J54" s="209">
        <f>G54/D54*100</f>
        <v>81.13957406367444</v>
      </c>
      <c r="K54" s="209">
        <f>G54/E54*100</f>
        <v>100</v>
      </c>
      <c r="L54" s="210">
        <f>G54-C54</f>
        <v>747.9000000000001</v>
      </c>
      <c r="M54" s="210">
        <f>G54-D54</f>
        <v>-873.2000000000003</v>
      </c>
      <c r="N54" s="210">
        <f>G54-E54</f>
        <v>0</v>
      </c>
    </row>
    <row r="55" spans="1:14" ht="39.75" customHeight="1">
      <c r="A55" s="298" t="s">
        <v>52</v>
      </c>
      <c r="B55" s="298"/>
      <c r="C55" s="212">
        <f aca="true" t="shared" si="16" ref="C55:H55">C50+C51</f>
        <v>8230.4</v>
      </c>
      <c r="D55" s="212">
        <f t="shared" si="16"/>
        <v>13040</v>
      </c>
      <c r="E55" s="212">
        <f t="shared" si="16"/>
        <v>10864.400000000001</v>
      </c>
      <c r="F55" s="212">
        <f t="shared" si="16"/>
        <v>1281.625</v>
      </c>
      <c r="G55" s="212">
        <f t="shared" si="16"/>
        <v>11834</v>
      </c>
      <c r="H55" s="212">
        <f t="shared" si="16"/>
        <v>1341.3000000000002</v>
      </c>
      <c r="I55" s="213">
        <f t="shared" si="1"/>
        <v>143.7840202177294</v>
      </c>
      <c r="J55" s="213">
        <f t="shared" si="2"/>
        <v>90.75153374233129</v>
      </c>
      <c r="K55" s="213">
        <f t="shared" si="6"/>
        <v>108.92456095136407</v>
      </c>
      <c r="L55" s="212">
        <f t="shared" si="3"/>
        <v>3603.6000000000004</v>
      </c>
      <c r="M55" s="212">
        <f t="shared" si="4"/>
        <v>-1206</v>
      </c>
      <c r="N55" s="212">
        <f t="shared" si="5"/>
        <v>969.5999999999985</v>
      </c>
    </row>
    <row r="56" spans="1:14" ht="40.5" customHeight="1">
      <c r="A56" s="311" t="s">
        <v>53</v>
      </c>
      <c r="B56" s="311"/>
      <c r="C56" s="214">
        <f aca="true" t="shared" si="17" ref="C56:H56">C33+C55</f>
        <v>110201.49999999999</v>
      </c>
      <c r="D56" s="214">
        <f t="shared" si="17"/>
        <v>166727.7</v>
      </c>
      <c r="E56" s="214">
        <f t="shared" si="17"/>
        <v>137399.19999999998</v>
      </c>
      <c r="F56" s="214">
        <f t="shared" si="17"/>
        <v>15244.524999999985</v>
      </c>
      <c r="G56" s="214">
        <f t="shared" si="17"/>
        <v>135962.1</v>
      </c>
      <c r="H56" s="214">
        <f t="shared" si="17"/>
        <v>13934.000000000007</v>
      </c>
      <c r="I56" s="215">
        <f t="shared" si="1"/>
        <v>123.37590686152187</v>
      </c>
      <c r="J56" s="215">
        <f t="shared" si="2"/>
        <v>81.54739734309295</v>
      </c>
      <c r="K56" s="215">
        <f t="shared" si="6"/>
        <v>98.95406960156976</v>
      </c>
      <c r="L56" s="214">
        <f t="shared" si="3"/>
        <v>25760.60000000002</v>
      </c>
      <c r="M56" s="214">
        <f t="shared" si="4"/>
        <v>-30765.600000000006</v>
      </c>
      <c r="N56" s="214">
        <f t="shared" si="5"/>
        <v>-1437.0999999999767</v>
      </c>
    </row>
    <row r="57" spans="2:8" ht="12.75">
      <c r="B57" s="6"/>
      <c r="C57" s="24"/>
      <c r="D57" s="24"/>
      <c r="E57" s="24"/>
      <c r="F57" s="24"/>
      <c r="G57" s="24"/>
      <c r="H57" s="24"/>
    </row>
  </sheetData>
  <mergeCells count="31">
    <mergeCell ref="A56:B56"/>
    <mergeCell ref="A35:B35"/>
    <mergeCell ref="A39:B39"/>
    <mergeCell ref="A55:B55"/>
    <mergeCell ref="A43:B43"/>
    <mergeCell ref="A48:B48"/>
    <mergeCell ref="L1:N1"/>
    <mergeCell ref="G6:G7"/>
    <mergeCell ref="H6:H7"/>
    <mergeCell ref="I6:I7"/>
    <mergeCell ref="J6:J7"/>
    <mergeCell ref="K6:K7"/>
    <mergeCell ref="L6:L7"/>
    <mergeCell ref="A3:N3"/>
    <mergeCell ref="A5:A7"/>
    <mergeCell ref="B5:B7"/>
    <mergeCell ref="C5:C7"/>
    <mergeCell ref="D5:F5"/>
    <mergeCell ref="G5:H5"/>
    <mergeCell ref="I5:K5"/>
    <mergeCell ref="L5:N5"/>
    <mergeCell ref="D6:D7"/>
    <mergeCell ref="E6:F6"/>
    <mergeCell ref="M6:M7"/>
    <mergeCell ref="N6:N7"/>
    <mergeCell ref="A9:N9"/>
    <mergeCell ref="A28:B28"/>
    <mergeCell ref="A33:B33"/>
    <mergeCell ref="A34:N34"/>
    <mergeCell ref="A29:B29"/>
    <mergeCell ref="A13:B13"/>
  </mergeCells>
  <printOptions/>
  <pageMargins left="0.59" right="0.47" top="0.5" bottom="0.33" header="0.5" footer="0.21"/>
  <pageSetup fitToHeight="1" fitToWidth="1" horizontalDpi="600" verticalDpi="600" orientation="portrait" paperSize="9" scale="4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workbookViewId="0" topLeftCell="A44">
      <selection activeCell="E49" sqref="E49"/>
    </sheetView>
  </sheetViews>
  <sheetFormatPr defaultColWidth="9.00390625" defaultRowHeight="12.75"/>
  <cols>
    <col min="1" max="1" width="12.75390625" style="5" customWidth="1"/>
    <col min="2" max="2" width="33.125" style="5" customWidth="1"/>
    <col min="3" max="3" width="13.375" style="0" customWidth="1"/>
    <col min="4" max="4" width="14.125" style="0" customWidth="1"/>
    <col min="5" max="5" width="12.375" style="0" customWidth="1"/>
    <col min="6" max="6" width="12.625" style="0" customWidth="1"/>
    <col min="7" max="7" width="14.00390625" style="0" customWidth="1"/>
    <col min="8" max="8" width="12.375" style="0" customWidth="1"/>
    <col min="9" max="9" width="12.25390625" style="13" customWidth="1"/>
    <col min="10" max="10" width="13.125" style="13" customWidth="1"/>
    <col min="11" max="11" width="12.625" style="13" customWidth="1"/>
    <col min="12" max="12" width="13.75390625" style="0" customWidth="1"/>
    <col min="13" max="13" width="14.375" style="0" customWidth="1"/>
    <col min="14" max="14" width="12.75390625" style="0" customWidth="1"/>
  </cols>
  <sheetData>
    <row r="1" spans="12:14" ht="15">
      <c r="L1" s="321" t="s">
        <v>54</v>
      </c>
      <c r="M1" s="321"/>
      <c r="N1" s="321"/>
    </row>
    <row r="3" spans="1:14" ht="22.5">
      <c r="A3" s="313" t="s">
        <v>203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</row>
    <row r="5" spans="1:14" ht="15" customHeight="1">
      <c r="A5" s="318" t="s">
        <v>5</v>
      </c>
      <c r="B5" s="315" t="s">
        <v>7</v>
      </c>
      <c r="C5" s="289" t="s">
        <v>204</v>
      </c>
      <c r="D5" s="272" t="s">
        <v>3</v>
      </c>
      <c r="E5" s="266"/>
      <c r="F5" s="267"/>
      <c r="G5" s="283" t="s">
        <v>2</v>
      </c>
      <c r="H5" s="284"/>
      <c r="I5" s="314" t="s">
        <v>0</v>
      </c>
      <c r="J5" s="314"/>
      <c r="K5" s="314"/>
      <c r="L5" s="306" t="s">
        <v>1</v>
      </c>
      <c r="M5" s="306"/>
      <c r="N5" s="307"/>
    </row>
    <row r="6" spans="1:14" ht="15" customHeight="1">
      <c r="A6" s="319"/>
      <c r="B6" s="316"/>
      <c r="C6" s="308"/>
      <c r="D6" s="289" t="s">
        <v>156</v>
      </c>
      <c r="E6" s="309" t="s">
        <v>6</v>
      </c>
      <c r="F6" s="310"/>
      <c r="G6" s="283" t="s">
        <v>158</v>
      </c>
      <c r="H6" s="304" t="s">
        <v>205</v>
      </c>
      <c r="I6" s="314" t="s">
        <v>4</v>
      </c>
      <c r="J6" s="314" t="s">
        <v>148</v>
      </c>
      <c r="K6" s="314" t="s">
        <v>153</v>
      </c>
      <c r="L6" s="314" t="s">
        <v>4</v>
      </c>
      <c r="M6" s="314" t="s">
        <v>148</v>
      </c>
      <c r="N6" s="314" t="s">
        <v>153</v>
      </c>
    </row>
    <row r="7" spans="1:14" ht="57" customHeight="1">
      <c r="A7" s="320"/>
      <c r="B7" s="317"/>
      <c r="C7" s="264"/>
      <c r="D7" s="264"/>
      <c r="E7" s="4" t="s">
        <v>157</v>
      </c>
      <c r="F7" s="12" t="s">
        <v>205</v>
      </c>
      <c r="G7" s="285"/>
      <c r="H7" s="305"/>
      <c r="I7" s="314"/>
      <c r="J7" s="314"/>
      <c r="K7" s="314"/>
      <c r="L7" s="314"/>
      <c r="M7" s="314"/>
      <c r="N7" s="314"/>
    </row>
    <row r="8" spans="1:14" s="220" customFormat="1" ht="12.75">
      <c r="A8" s="216">
        <v>1</v>
      </c>
      <c r="B8" s="28">
        <v>2</v>
      </c>
      <c r="C8" s="218">
        <v>3</v>
      </c>
      <c r="D8" s="218">
        <v>4</v>
      </c>
      <c r="E8" s="219">
        <v>5</v>
      </c>
      <c r="F8" s="219">
        <v>6</v>
      </c>
      <c r="G8" s="218">
        <v>7</v>
      </c>
      <c r="H8" s="218">
        <v>8</v>
      </c>
      <c r="I8" s="218">
        <v>9</v>
      </c>
      <c r="J8" s="218">
        <v>10</v>
      </c>
      <c r="K8" s="218">
        <v>11</v>
      </c>
      <c r="L8" s="218">
        <v>12</v>
      </c>
      <c r="M8" s="218">
        <v>13</v>
      </c>
      <c r="N8" s="218">
        <v>14</v>
      </c>
    </row>
    <row r="9" spans="1:14" ht="24" customHeight="1">
      <c r="A9" s="303" t="s">
        <v>36</v>
      </c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</row>
    <row r="10" spans="1:14" ht="54" customHeight="1">
      <c r="A10" s="199">
        <v>11010000</v>
      </c>
      <c r="B10" s="11" t="s">
        <v>13</v>
      </c>
      <c r="C10" s="178">
        <v>74769.5</v>
      </c>
      <c r="D10" s="177">
        <v>102041.7</v>
      </c>
      <c r="E10" s="178">
        <v>92001.5</v>
      </c>
      <c r="F10" s="179">
        <f>E10-'01.11'!E10</f>
        <v>7355.600000000006</v>
      </c>
      <c r="G10" s="178">
        <v>89337.3</v>
      </c>
      <c r="H10" s="179">
        <f>G10-'01.11'!G10</f>
        <v>7842.100000000006</v>
      </c>
      <c r="I10" s="200">
        <f>G10/C10*100</f>
        <v>119.48361297052944</v>
      </c>
      <c r="J10" s="200">
        <f>G10/D10*100</f>
        <v>87.54979581876822</v>
      </c>
      <c r="K10" s="200">
        <f>G10/E10*100</f>
        <v>97.10417764927746</v>
      </c>
      <c r="L10" s="178">
        <f>G10-C10</f>
        <v>14567.800000000003</v>
      </c>
      <c r="M10" s="178">
        <f>G10-D10</f>
        <v>-12704.399999999994</v>
      </c>
      <c r="N10" s="178">
        <f>G10-E10</f>
        <v>-2664.199999999997</v>
      </c>
    </row>
    <row r="11" spans="1:14" ht="39">
      <c r="A11" s="199">
        <v>22010300</v>
      </c>
      <c r="B11" s="11" t="s">
        <v>10</v>
      </c>
      <c r="C11" s="178">
        <v>14.6</v>
      </c>
      <c r="D11" s="177">
        <v>16.5</v>
      </c>
      <c r="E11" s="178">
        <v>14.6</v>
      </c>
      <c r="F11" s="179">
        <f>E11-'01.11'!E11</f>
        <v>1.9000000000000004</v>
      </c>
      <c r="G11" s="178">
        <v>13</v>
      </c>
      <c r="H11" s="179">
        <f>G11-'01.11'!G11</f>
        <v>1.4000000000000004</v>
      </c>
      <c r="I11" s="200">
        <f>G11/C11*100</f>
        <v>89.04109589041096</v>
      </c>
      <c r="J11" s="200">
        <f>G11/D11*100</f>
        <v>78.78787878787878</v>
      </c>
      <c r="K11" s="200">
        <f>G11/E11*100</f>
        <v>89.04109589041096</v>
      </c>
      <c r="L11" s="178">
        <f>G11-C11</f>
        <v>-1.5999999999999996</v>
      </c>
      <c r="M11" s="178">
        <f>G11-D11</f>
        <v>-3.5</v>
      </c>
      <c r="N11" s="178">
        <f>G11-E11</f>
        <v>-1.5999999999999996</v>
      </c>
    </row>
    <row r="12" spans="1:14" ht="18.75" customHeight="1">
      <c r="A12" s="199">
        <v>22090000</v>
      </c>
      <c r="B12" s="11" t="s">
        <v>11</v>
      </c>
      <c r="C12" s="178">
        <v>53.1</v>
      </c>
      <c r="D12" s="177">
        <v>60</v>
      </c>
      <c r="E12" s="178">
        <v>54.3</v>
      </c>
      <c r="F12" s="179">
        <f>E12-'01.11'!E12</f>
        <v>3.6999999999999957</v>
      </c>
      <c r="G12" s="178">
        <v>74.7</v>
      </c>
      <c r="H12" s="179">
        <f>G12-'01.11'!G12</f>
        <v>12.100000000000001</v>
      </c>
      <c r="I12" s="200">
        <f>G12/C12*100</f>
        <v>140.67796610169492</v>
      </c>
      <c r="J12" s="200">
        <f>G12/D12*100</f>
        <v>124.50000000000001</v>
      </c>
      <c r="K12" s="200">
        <f>G12/E12*100</f>
        <v>137.5690607734807</v>
      </c>
      <c r="L12" s="178">
        <f>G12-C12</f>
        <v>21.6</v>
      </c>
      <c r="M12" s="178">
        <f>G12-D12</f>
        <v>14.700000000000003</v>
      </c>
      <c r="N12" s="178">
        <f>G12-E12</f>
        <v>20.400000000000006</v>
      </c>
    </row>
    <row r="13" spans="1:14" ht="30" customHeight="1">
      <c r="A13" s="301" t="s">
        <v>12</v>
      </c>
      <c r="B13" s="301"/>
      <c r="C13" s="180">
        <f aca="true" t="shared" si="0" ref="C13:H13">SUM(C10:C12)</f>
        <v>74837.20000000001</v>
      </c>
      <c r="D13" s="180">
        <f t="shared" si="0"/>
        <v>102118.2</v>
      </c>
      <c r="E13" s="180">
        <f t="shared" si="0"/>
        <v>92070.40000000001</v>
      </c>
      <c r="F13" s="180">
        <f t="shared" si="0"/>
        <v>7361.200000000005</v>
      </c>
      <c r="G13" s="180">
        <f t="shared" si="0"/>
        <v>89425</v>
      </c>
      <c r="H13" s="180">
        <f t="shared" si="0"/>
        <v>7855.600000000006</v>
      </c>
      <c r="I13" s="201">
        <f>G13/C13*100</f>
        <v>119.49271218057326</v>
      </c>
      <c r="J13" s="201">
        <f>G13/D13*100</f>
        <v>87.57009034628499</v>
      </c>
      <c r="K13" s="201">
        <f>G13/E13*100</f>
        <v>97.12676386764909</v>
      </c>
      <c r="L13" s="180">
        <f>G13-C13</f>
        <v>14587.799999999988</v>
      </c>
      <c r="M13" s="180">
        <f>G13-D13</f>
        <v>-12693.199999999997</v>
      </c>
      <c r="N13" s="180">
        <f>G13-E13</f>
        <v>-2645.4000000000087</v>
      </c>
    </row>
    <row r="14" spans="1:14" ht="39">
      <c r="A14" s="202">
        <v>11010600</v>
      </c>
      <c r="B14" s="11" t="s">
        <v>14</v>
      </c>
      <c r="C14" s="178">
        <v>59.9</v>
      </c>
      <c r="D14" s="178">
        <v>0</v>
      </c>
      <c r="E14" s="178">
        <v>0</v>
      </c>
      <c r="F14" s="179">
        <f>E14-'01.11'!E14</f>
        <v>0</v>
      </c>
      <c r="G14" s="178">
        <v>-0.5</v>
      </c>
      <c r="H14" s="179">
        <f>G14-'01.11'!G14</f>
        <v>-0.2</v>
      </c>
      <c r="I14" s="200">
        <f aca="true" t="shared" si="1" ref="I14:I56">G14/C14*100</f>
        <v>-0.8347245409015025</v>
      </c>
      <c r="J14" s="200" t="e">
        <f aca="true" t="shared" si="2" ref="J14:J56">G14/D14*100</f>
        <v>#DIV/0!</v>
      </c>
      <c r="K14" s="200" t="e">
        <f>G14/E14*100</f>
        <v>#DIV/0!</v>
      </c>
      <c r="L14" s="178">
        <f aca="true" t="shared" si="3" ref="L14:L56">G14-C14</f>
        <v>-60.4</v>
      </c>
      <c r="M14" s="178">
        <f aca="true" t="shared" si="4" ref="M14:M56">G14-D14</f>
        <v>-0.5</v>
      </c>
      <c r="N14" s="178">
        <f aca="true" t="shared" si="5" ref="N14:N56">G14-E14</f>
        <v>-0.5</v>
      </c>
    </row>
    <row r="15" spans="1:14" ht="38.25">
      <c r="A15" s="203" t="s">
        <v>15</v>
      </c>
      <c r="B15" s="14" t="s">
        <v>16</v>
      </c>
      <c r="C15" s="178">
        <v>179.2</v>
      </c>
      <c r="D15" s="178">
        <v>100</v>
      </c>
      <c r="E15" s="178">
        <v>98.2</v>
      </c>
      <c r="F15" s="179">
        <f>E15-'01.11'!E15</f>
        <v>21.5</v>
      </c>
      <c r="G15" s="178">
        <v>225.4</v>
      </c>
      <c r="H15" s="179">
        <f>G15-'01.11'!G15</f>
        <v>14.200000000000017</v>
      </c>
      <c r="I15" s="200">
        <f t="shared" si="1"/>
        <v>125.78125000000003</v>
      </c>
      <c r="J15" s="200">
        <f t="shared" si="2"/>
        <v>225.4</v>
      </c>
      <c r="K15" s="200">
        <f aca="true" t="shared" si="6" ref="K15:K56">G15/E15*100</f>
        <v>229.53156822810593</v>
      </c>
      <c r="L15" s="178">
        <f t="shared" si="3"/>
        <v>46.20000000000002</v>
      </c>
      <c r="M15" s="178">
        <f t="shared" si="4"/>
        <v>125.4</v>
      </c>
      <c r="N15" s="178">
        <f t="shared" si="5"/>
        <v>127.2</v>
      </c>
    </row>
    <row r="16" spans="1:14" ht="15" customHeight="1">
      <c r="A16" s="204">
        <v>13050000</v>
      </c>
      <c r="B16" s="11" t="s">
        <v>17</v>
      </c>
      <c r="C16" s="178">
        <v>12969.8</v>
      </c>
      <c r="D16" s="178">
        <v>14200</v>
      </c>
      <c r="E16" s="178">
        <v>12673.1</v>
      </c>
      <c r="F16" s="179">
        <f>E16-'01.11'!E16</f>
        <v>1221.800000000001</v>
      </c>
      <c r="G16" s="178">
        <v>13296.4</v>
      </c>
      <c r="H16" s="179">
        <f>G16-'01.11'!G16</f>
        <v>1197</v>
      </c>
      <c r="I16" s="200">
        <f t="shared" si="1"/>
        <v>102.51815756603804</v>
      </c>
      <c r="J16" s="200">
        <f t="shared" si="2"/>
        <v>93.63661971830986</v>
      </c>
      <c r="K16" s="200">
        <f t="shared" si="6"/>
        <v>104.91829149931743</v>
      </c>
      <c r="L16" s="178">
        <f t="shared" si="3"/>
        <v>326.60000000000036</v>
      </c>
      <c r="M16" s="178">
        <f t="shared" si="4"/>
        <v>-903.6000000000004</v>
      </c>
      <c r="N16" s="178">
        <f t="shared" si="5"/>
        <v>623.2999999999993</v>
      </c>
    </row>
    <row r="17" spans="1:14" ht="26.25">
      <c r="A17" s="204">
        <v>18000000</v>
      </c>
      <c r="B17" s="11" t="s">
        <v>164</v>
      </c>
      <c r="C17" s="181">
        <f>SUM(C18:C20)</f>
        <v>219.70000000000002</v>
      </c>
      <c r="D17" s="181">
        <f>SUM(D18:D20)</f>
        <v>242</v>
      </c>
      <c r="E17" s="181">
        <f>SUM(E18:E20)</f>
        <v>221.3</v>
      </c>
      <c r="F17" s="179">
        <f>E17-'01.11'!E17</f>
        <v>20.200000000000017</v>
      </c>
      <c r="G17" s="181">
        <f>SUM(G18:G20)</f>
        <v>252.3</v>
      </c>
      <c r="H17" s="179">
        <f>G17-'01.11'!G17</f>
        <v>29.200000000000017</v>
      </c>
      <c r="I17" s="200">
        <f t="shared" si="1"/>
        <v>114.83841602184796</v>
      </c>
      <c r="J17" s="200">
        <f t="shared" si="2"/>
        <v>104.25619834710744</v>
      </c>
      <c r="K17" s="200">
        <f t="shared" si="6"/>
        <v>114.0081337550836</v>
      </c>
      <c r="L17" s="178">
        <f t="shared" si="3"/>
        <v>32.599999999999994</v>
      </c>
      <c r="M17" s="178">
        <f t="shared" si="4"/>
        <v>10.300000000000011</v>
      </c>
      <c r="N17" s="178">
        <f t="shared" si="5"/>
        <v>31</v>
      </c>
    </row>
    <row r="18" spans="1:14" ht="15.75" hidden="1">
      <c r="A18" s="204">
        <v>18020000</v>
      </c>
      <c r="B18" s="10" t="s">
        <v>19</v>
      </c>
      <c r="C18" s="178">
        <v>0</v>
      </c>
      <c r="D18" s="178">
        <v>0</v>
      </c>
      <c r="E18" s="178">
        <v>0</v>
      </c>
      <c r="F18" s="179">
        <f>E18-'01.11'!E18</f>
        <v>0</v>
      </c>
      <c r="G18" s="178">
        <v>0</v>
      </c>
      <c r="H18" s="179">
        <f>G18-'01.11'!G18</f>
        <v>0</v>
      </c>
      <c r="I18" s="200" t="e">
        <f t="shared" si="1"/>
        <v>#DIV/0!</v>
      </c>
      <c r="J18" s="200" t="e">
        <f t="shared" si="2"/>
        <v>#DIV/0!</v>
      </c>
      <c r="K18" s="200" t="e">
        <f t="shared" si="6"/>
        <v>#DIV/0!</v>
      </c>
      <c r="L18" s="178">
        <f t="shared" si="3"/>
        <v>0</v>
      </c>
      <c r="M18" s="178">
        <f t="shared" si="4"/>
        <v>0</v>
      </c>
      <c r="N18" s="178">
        <f t="shared" si="5"/>
        <v>0</v>
      </c>
    </row>
    <row r="19" spans="1:14" ht="15.75">
      <c r="A19" s="204">
        <v>18030000</v>
      </c>
      <c r="B19" s="10" t="s">
        <v>20</v>
      </c>
      <c r="C19" s="178">
        <v>2.9</v>
      </c>
      <c r="D19" s="178">
        <v>2</v>
      </c>
      <c r="E19" s="178">
        <v>1.9</v>
      </c>
      <c r="F19" s="179">
        <f>E19-'01.11'!E19</f>
        <v>0.19999999999999996</v>
      </c>
      <c r="G19" s="178">
        <v>8.5</v>
      </c>
      <c r="H19" s="179">
        <f>G19-'01.11'!G19</f>
        <v>0.5</v>
      </c>
      <c r="I19" s="200">
        <f t="shared" si="1"/>
        <v>293.1034482758621</v>
      </c>
      <c r="J19" s="200">
        <f t="shared" si="2"/>
        <v>425</v>
      </c>
      <c r="K19" s="200">
        <f t="shared" si="6"/>
        <v>447.3684210526316</v>
      </c>
      <c r="L19" s="178">
        <f t="shared" si="3"/>
        <v>5.6</v>
      </c>
      <c r="M19" s="178">
        <f t="shared" si="4"/>
        <v>6.5</v>
      </c>
      <c r="N19" s="178">
        <f t="shared" si="5"/>
        <v>6.6</v>
      </c>
    </row>
    <row r="20" spans="1:14" ht="26.25">
      <c r="A20" s="204">
        <v>18040000</v>
      </c>
      <c r="B20" s="11" t="s">
        <v>21</v>
      </c>
      <c r="C20" s="178">
        <v>216.8</v>
      </c>
      <c r="D20" s="178">
        <v>240</v>
      </c>
      <c r="E20" s="178">
        <v>219.4</v>
      </c>
      <c r="F20" s="179">
        <f>E20-'01.11'!E20</f>
        <v>20</v>
      </c>
      <c r="G20" s="178">
        <v>243.8</v>
      </c>
      <c r="H20" s="179">
        <f>G20-'01.11'!G20</f>
        <v>28.700000000000017</v>
      </c>
      <c r="I20" s="200">
        <f t="shared" si="1"/>
        <v>112.45387453874538</v>
      </c>
      <c r="J20" s="200">
        <f t="shared" si="2"/>
        <v>101.58333333333334</v>
      </c>
      <c r="K20" s="200">
        <f t="shared" si="6"/>
        <v>111.12123974475843</v>
      </c>
      <c r="L20" s="178">
        <f t="shared" si="3"/>
        <v>27</v>
      </c>
      <c r="M20" s="178">
        <f t="shared" si="4"/>
        <v>3.8000000000000114</v>
      </c>
      <c r="N20" s="178">
        <f t="shared" si="5"/>
        <v>24.400000000000006</v>
      </c>
    </row>
    <row r="21" spans="1:14" ht="26.25">
      <c r="A21" s="204">
        <v>19040100</v>
      </c>
      <c r="B21" s="11" t="s">
        <v>41</v>
      </c>
      <c r="C21" s="178">
        <v>0.5</v>
      </c>
      <c r="D21" s="178">
        <v>0</v>
      </c>
      <c r="E21" s="178">
        <v>0</v>
      </c>
      <c r="F21" s="179">
        <f>E21-'01.11'!E21</f>
        <v>0</v>
      </c>
      <c r="G21" s="178">
        <v>0.7</v>
      </c>
      <c r="H21" s="179">
        <f>G21-'01.11'!G21</f>
        <v>0</v>
      </c>
      <c r="I21" s="200">
        <f t="shared" si="1"/>
        <v>140</v>
      </c>
      <c r="J21" s="200" t="e">
        <f t="shared" si="2"/>
        <v>#DIV/0!</v>
      </c>
      <c r="K21" s="200" t="e">
        <f t="shared" si="6"/>
        <v>#DIV/0!</v>
      </c>
      <c r="L21" s="178">
        <f>G21-C21</f>
        <v>0.19999999999999996</v>
      </c>
      <c r="M21" s="178">
        <f>G21-D21</f>
        <v>0.7</v>
      </c>
      <c r="N21" s="178">
        <f>G21-E21</f>
        <v>0.7</v>
      </c>
    </row>
    <row r="22" spans="1:14" ht="51">
      <c r="A22" s="44" t="s">
        <v>26</v>
      </c>
      <c r="B22" s="8" t="s">
        <v>162</v>
      </c>
      <c r="C22" s="178">
        <v>1.4</v>
      </c>
      <c r="D22" s="178">
        <v>0</v>
      </c>
      <c r="E22" s="178">
        <v>0</v>
      </c>
      <c r="F22" s="179">
        <f>E22-'01.11'!E22</f>
        <v>0</v>
      </c>
      <c r="G22" s="178">
        <v>0.3</v>
      </c>
      <c r="H22" s="179">
        <f>G22-'01.11'!G22</f>
        <v>0</v>
      </c>
      <c r="I22" s="200">
        <f t="shared" si="1"/>
        <v>21.42857142857143</v>
      </c>
      <c r="J22" s="200" t="e">
        <f t="shared" si="2"/>
        <v>#DIV/0!</v>
      </c>
      <c r="K22" s="200" t="e">
        <f t="shared" si="6"/>
        <v>#DIV/0!</v>
      </c>
      <c r="L22" s="178">
        <f t="shared" si="3"/>
        <v>-1.0999999999999999</v>
      </c>
      <c r="M22" s="178">
        <f t="shared" si="4"/>
        <v>0.3</v>
      </c>
      <c r="N22" s="178">
        <f t="shared" si="5"/>
        <v>0.3</v>
      </c>
    </row>
    <row r="23" spans="1:14" ht="15.75">
      <c r="A23" s="203" t="s">
        <v>24</v>
      </c>
      <c r="B23" s="9" t="s">
        <v>25</v>
      </c>
      <c r="C23" s="178">
        <v>34</v>
      </c>
      <c r="D23" s="178">
        <v>15</v>
      </c>
      <c r="E23" s="178">
        <v>13.5</v>
      </c>
      <c r="F23" s="179">
        <f>E23-'01.11'!E23</f>
        <v>1.3000000000000007</v>
      </c>
      <c r="G23" s="178">
        <v>18.3</v>
      </c>
      <c r="H23" s="179">
        <f>G23-'01.11'!G23</f>
        <v>0.1999999999999993</v>
      </c>
      <c r="I23" s="200">
        <f t="shared" si="1"/>
        <v>53.8235294117647</v>
      </c>
      <c r="J23" s="200">
        <f t="shared" si="2"/>
        <v>122</v>
      </c>
      <c r="K23" s="200">
        <f t="shared" si="6"/>
        <v>135.55555555555557</v>
      </c>
      <c r="L23" s="178">
        <f t="shared" si="3"/>
        <v>-15.7</v>
      </c>
      <c r="M23" s="178">
        <f t="shared" si="4"/>
        <v>3.3000000000000007</v>
      </c>
      <c r="N23" s="178">
        <f t="shared" si="5"/>
        <v>4.800000000000001</v>
      </c>
    </row>
    <row r="24" spans="1:14" ht="53.25" customHeight="1">
      <c r="A24" s="203" t="s">
        <v>22</v>
      </c>
      <c r="B24" s="18" t="s">
        <v>23</v>
      </c>
      <c r="C24" s="178">
        <v>571.1</v>
      </c>
      <c r="D24" s="178">
        <v>645</v>
      </c>
      <c r="E24" s="178">
        <v>587.9</v>
      </c>
      <c r="F24" s="179">
        <f>E24-'01.11'!E24</f>
        <v>56</v>
      </c>
      <c r="G24" s="178">
        <v>575.5</v>
      </c>
      <c r="H24" s="179">
        <f>G24-'01.11'!G24</f>
        <v>48.5</v>
      </c>
      <c r="I24" s="200">
        <f t="shared" si="1"/>
        <v>100.77044300472771</v>
      </c>
      <c r="J24" s="200">
        <f t="shared" si="2"/>
        <v>89.2248062015504</v>
      </c>
      <c r="K24" s="200">
        <f t="shared" si="6"/>
        <v>97.8907977547202</v>
      </c>
      <c r="L24" s="178">
        <f t="shared" si="3"/>
        <v>4.399999999999977</v>
      </c>
      <c r="M24" s="178">
        <f t="shared" si="4"/>
        <v>-69.5</v>
      </c>
      <c r="N24" s="178">
        <f t="shared" si="5"/>
        <v>-12.399999999999977</v>
      </c>
    </row>
    <row r="25" spans="1:14" ht="31.5">
      <c r="A25" s="204" t="s">
        <v>55</v>
      </c>
      <c r="B25" s="10" t="s">
        <v>28</v>
      </c>
      <c r="C25" s="178">
        <v>175</v>
      </c>
      <c r="D25" s="178">
        <v>0</v>
      </c>
      <c r="E25" s="178">
        <v>0</v>
      </c>
      <c r="F25" s="179">
        <f>E25-'01.11'!E25</f>
        <v>0</v>
      </c>
      <c r="G25" s="178">
        <v>36.4</v>
      </c>
      <c r="H25" s="179">
        <f>G25-'01.11'!G25</f>
        <v>1.6000000000000014</v>
      </c>
      <c r="I25" s="200">
        <f t="shared" si="1"/>
        <v>20.8</v>
      </c>
      <c r="J25" s="200" t="e">
        <f t="shared" si="2"/>
        <v>#DIV/0!</v>
      </c>
      <c r="K25" s="200" t="e">
        <f t="shared" si="6"/>
        <v>#DIV/0!</v>
      </c>
      <c r="L25" s="178">
        <f t="shared" si="3"/>
        <v>-138.6</v>
      </c>
      <c r="M25" s="178">
        <f t="shared" si="4"/>
        <v>36.4</v>
      </c>
      <c r="N25" s="178">
        <f t="shared" si="5"/>
        <v>36.4</v>
      </c>
    </row>
    <row r="26" spans="1:14" ht="26.25">
      <c r="A26" s="204">
        <v>24060600</v>
      </c>
      <c r="B26" s="11" t="s">
        <v>29</v>
      </c>
      <c r="C26" s="178">
        <v>0</v>
      </c>
      <c r="D26" s="178">
        <v>0</v>
      </c>
      <c r="E26" s="178">
        <v>0</v>
      </c>
      <c r="F26" s="179">
        <f>E26-'01.11'!E26</f>
        <v>0</v>
      </c>
      <c r="G26" s="178">
        <v>0.1</v>
      </c>
      <c r="H26" s="179">
        <f>G26-'01.11'!G26</f>
        <v>0</v>
      </c>
      <c r="I26" s="200" t="e">
        <f t="shared" si="1"/>
        <v>#DIV/0!</v>
      </c>
      <c r="J26" s="200" t="e">
        <f t="shared" si="2"/>
        <v>#DIV/0!</v>
      </c>
      <c r="K26" s="200" t="e">
        <f t="shared" si="6"/>
        <v>#DIV/0!</v>
      </c>
      <c r="L26" s="178">
        <f t="shared" si="3"/>
        <v>0.1</v>
      </c>
      <c r="M26" s="178">
        <f t="shared" si="4"/>
        <v>0.1</v>
      </c>
      <c r="N26" s="178">
        <f t="shared" si="5"/>
        <v>0.1</v>
      </c>
    </row>
    <row r="27" spans="1:14" ht="64.5">
      <c r="A27" s="204">
        <v>31010200</v>
      </c>
      <c r="B27" s="11" t="s">
        <v>30</v>
      </c>
      <c r="C27" s="178">
        <v>7.8</v>
      </c>
      <c r="D27" s="178">
        <v>0</v>
      </c>
      <c r="E27" s="178">
        <v>0</v>
      </c>
      <c r="F27" s="179">
        <f>E27-'01.11'!E27</f>
        <v>0</v>
      </c>
      <c r="G27" s="178">
        <v>4</v>
      </c>
      <c r="H27" s="179">
        <f>G27-'01.11'!G27</f>
        <v>0.3999999999999999</v>
      </c>
      <c r="I27" s="200">
        <f t="shared" si="1"/>
        <v>51.28205128205129</v>
      </c>
      <c r="J27" s="200" t="e">
        <f t="shared" si="2"/>
        <v>#DIV/0!</v>
      </c>
      <c r="K27" s="200" t="e">
        <f t="shared" si="6"/>
        <v>#DIV/0!</v>
      </c>
      <c r="L27" s="178">
        <f t="shared" si="3"/>
        <v>-3.8</v>
      </c>
      <c r="M27" s="178">
        <f t="shared" si="4"/>
        <v>4</v>
      </c>
      <c r="N27" s="178">
        <f t="shared" si="5"/>
        <v>4</v>
      </c>
    </row>
    <row r="28" spans="1:14" s="102" customFormat="1" ht="30" customHeight="1">
      <c r="A28" s="301" t="s">
        <v>31</v>
      </c>
      <c r="B28" s="301"/>
      <c r="C28" s="180">
        <f aca="true" t="shared" si="7" ref="C28:H28">SUM(C14:C27)-C17</f>
        <v>14218.399999999998</v>
      </c>
      <c r="D28" s="180">
        <f t="shared" si="7"/>
        <v>15202</v>
      </c>
      <c r="E28" s="180">
        <f t="shared" si="7"/>
        <v>13594</v>
      </c>
      <c r="F28" s="180">
        <f t="shared" si="7"/>
        <v>1320.800000000001</v>
      </c>
      <c r="G28" s="180">
        <f>SUM(G14:G27)-G17</f>
        <v>14408.899999999998</v>
      </c>
      <c r="H28" s="180">
        <f t="shared" si="7"/>
        <v>1290.9</v>
      </c>
      <c r="I28" s="201">
        <f t="shared" si="1"/>
        <v>101.33981319979743</v>
      </c>
      <c r="J28" s="201">
        <f t="shared" si="2"/>
        <v>94.78292329956584</v>
      </c>
      <c r="K28" s="201">
        <f t="shared" si="6"/>
        <v>105.99455642195083</v>
      </c>
      <c r="L28" s="180">
        <f t="shared" si="3"/>
        <v>190.5</v>
      </c>
      <c r="M28" s="180">
        <f t="shared" si="4"/>
        <v>-793.1000000000022</v>
      </c>
      <c r="N28" s="180">
        <f t="shared" si="5"/>
        <v>814.8999999999978</v>
      </c>
    </row>
    <row r="29" spans="1:14" ht="25.5" customHeight="1">
      <c r="A29" s="299" t="s">
        <v>35</v>
      </c>
      <c r="B29" s="299"/>
      <c r="C29" s="22">
        <f aca="true" t="shared" si="8" ref="C29:H29">C13+C28</f>
        <v>89055.6</v>
      </c>
      <c r="D29" s="22">
        <f t="shared" si="8"/>
        <v>117320.2</v>
      </c>
      <c r="E29" s="22">
        <f t="shared" si="8"/>
        <v>105664.40000000001</v>
      </c>
      <c r="F29" s="22">
        <f t="shared" si="8"/>
        <v>8682.000000000007</v>
      </c>
      <c r="G29" s="22">
        <f t="shared" si="8"/>
        <v>103833.9</v>
      </c>
      <c r="H29" s="22">
        <f t="shared" si="8"/>
        <v>9146.500000000005</v>
      </c>
      <c r="I29" s="25">
        <f t="shared" si="1"/>
        <v>116.59446458167706</v>
      </c>
      <c r="J29" s="25">
        <f t="shared" si="2"/>
        <v>88.50470762920622</v>
      </c>
      <c r="K29" s="25">
        <f t="shared" si="6"/>
        <v>98.26762845385957</v>
      </c>
      <c r="L29" s="22">
        <f t="shared" si="3"/>
        <v>14778.299999999988</v>
      </c>
      <c r="M29" s="22">
        <f t="shared" si="4"/>
        <v>-13486.300000000003</v>
      </c>
      <c r="N29" s="22">
        <f t="shared" si="5"/>
        <v>-1830.5000000000146</v>
      </c>
    </row>
    <row r="30" spans="1:14" ht="26.25">
      <c r="A30" s="205">
        <v>40000000</v>
      </c>
      <c r="B30" s="20" t="s">
        <v>32</v>
      </c>
      <c r="C30" s="180">
        <f aca="true" t="shared" si="9" ref="C30:H30">SUM(C31:C32)</f>
        <v>22767.399999999998</v>
      </c>
      <c r="D30" s="180">
        <f t="shared" si="9"/>
        <v>39045</v>
      </c>
      <c r="E30" s="180">
        <f t="shared" si="9"/>
        <v>33712.4</v>
      </c>
      <c r="F30" s="180">
        <f t="shared" si="9"/>
        <v>4160</v>
      </c>
      <c r="G30" s="180">
        <f t="shared" si="9"/>
        <v>33471.5</v>
      </c>
      <c r="H30" s="180">
        <f t="shared" si="9"/>
        <v>4030.7999999999984</v>
      </c>
      <c r="I30" s="201">
        <f t="shared" si="1"/>
        <v>147.01503026256842</v>
      </c>
      <c r="J30" s="201">
        <f t="shared" si="2"/>
        <v>85.72544499935971</v>
      </c>
      <c r="K30" s="201">
        <f t="shared" si="6"/>
        <v>99.2854261340041</v>
      </c>
      <c r="L30" s="180">
        <f t="shared" si="3"/>
        <v>10704.100000000002</v>
      </c>
      <c r="M30" s="180">
        <f t="shared" si="4"/>
        <v>-5573.5</v>
      </c>
      <c r="N30" s="180">
        <f t="shared" si="5"/>
        <v>-240.90000000000146</v>
      </c>
    </row>
    <row r="31" spans="1:14" ht="15.75">
      <c r="A31" s="206">
        <v>41020000</v>
      </c>
      <c r="B31" s="11" t="s">
        <v>33</v>
      </c>
      <c r="C31" s="178">
        <v>784.3</v>
      </c>
      <c r="D31" s="178">
        <v>7542</v>
      </c>
      <c r="E31" s="178">
        <v>5590.4</v>
      </c>
      <c r="F31" s="179">
        <f>E31-'01.11'!E31</f>
        <v>1353.7999999999993</v>
      </c>
      <c r="G31" s="178">
        <v>5590.2</v>
      </c>
      <c r="H31" s="179">
        <f>G31-'01.11'!G31</f>
        <v>1355.1999999999998</v>
      </c>
      <c r="I31" s="200">
        <f t="shared" si="1"/>
        <v>712.7629733520337</v>
      </c>
      <c r="J31" s="200">
        <f t="shared" si="2"/>
        <v>74.12092283214001</v>
      </c>
      <c r="K31" s="200">
        <f t="shared" si="6"/>
        <v>99.99642243846594</v>
      </c>
      <c r="L31" s="178">
        <f t="shared" si="3"/>
        <v>4805.9</v>
      </c>
      <c r="M31" s="178">
        <f t="shared" si="4"/>
        <v>-1951.8000000000002</v>
      </c>
      <c r="N31" s="178">
        <f t="shared" si="5"/>
        <v>-0.1999999999998181</v>
      </c>
    </row>
    <row r="32" spans="1:14" ht="15.75">
      <c r="A32" s="206">
        <v>41030000</v>
      </c>
      <c r="B32" s="11" t="s">
        <v>34</v>
      </c>
      <c r="C32" s="178">
        <v>21983.1</v>
      </c>
      <c r="D32" s="178">
        <v>31503</v>
      </c>
      <c r="E32" s="178">
        <v>28122</v>
      </c>
      <c r="F32" s="179">
        <f>E32-'01.11'!E32</f>
        <v>2806.2000000000007</v>
      </c>
      <c r="G32" s="178">
        <f>33471.5-5590.2</f>
        <v>27881.3</v>
      </c>
      <c r="H32" s="179">
        <f>G32-'01.11'!G32</f>
        <v>2675.5999999999985</v>
      </c>
      <c r="I32" s="200">
        <f t="shared" si="1"/>
        <v>126.83061078737758</v>
      </c>
      <c r="J32" s="200">
        <f t="shared" si="2"/>
        <v>88.50363457448496</v>
      </c>
      <c r="K32" s="200">
        <f t="shared" si="6"/>
        <v>99.14408648033569</v>
      </c>
      <c r="L32" s="178">
        <f t="shared" si="3"/>
        <v>5898.200000000001</v>
      </c>
      <c r="M32" s="178">
        <f t="shared" si="4"/>
        <v>-3621.7000000000007</v>
      </c>
      <c r="N32" s="178">
        <f t="shared" si="5"/>
        <v>-240.70000000000073</v>
      </c>
    </row>
    <row r="33" spans="1:14" ht="40.5" customHeight="1">
      <c r="A33" s="302" t="s">
        <v>50</v>
      </c>
      <c r="B33" s="302"/>
      <c r="C33" s="23">
        <f aca="true" t="shared" si="10" ref="C33:H33">C29+C30</f>
        <v>111823</v>
      </c>
      <c r="D33" s="23">
        <f>D29+D30</f>
        <v>156365.2</v>
      </c>
      <c r="E33" s="23">
        <f t="shared" si="10"/>
        <v>139376.80000000002</v>
      </c>
      <c r="F33" s="23">
        <f t="shared" si="10"/>
        <v>12842.000000000007</v>
      </c>
      <c r="G33" s="23">
        <f t="shared" si="10"/>
        <v>137305.4</v>
      </c>
      <c r="H33" s="23">
        <f t="shared" si="10"/>
        <v>13177.300000000003</v>
      </c>
      <c r="I33" s="26">
        <f t="shared" si="1"/>
        <v>122.78815628269675</v>
      </c>
      <c r="J33" s="26">
        <f t="shared" si="2"/>
        <v>87.81071491610665</v>
      </c>
      <c r="K33" s="26">
        <f t="shared" si="6"/>
        <v>98.51381291577937</v>
      </c>
      <c r="L33" s="23">
        <f t="shared" si="3"/>
        <v>25482.399999999994</v>
      </c>
      <c r="M33" s="23">
        <f t="shared" si="4"/>
        <v>-19059.800000000017</v>
      </c>
      <c r="N33" s="23">
        <f t="shared" si="5"/>
        <v>-2071.4000000000233</v>
      </c>
    </row>
    <row r="34" spans="1:14" ht="24" customHeight="1">
      <c r="A34" s="300" t="s">
        <v>37</v>
      </c>
      <c r="B34" s="300"/>
      <c r="C34" s="300"/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300"/>
    </row>
    <row r="35" spans="1:14" ht="27.75" customHeight="1">
      <c r="A35" s="301" t="s">
        <v>165</v>
      </c>
      <c r="B35" s="301"/>
      <c r="C35" s="180">
        <f aca="true" t="shared" si="11" ref="C35:H35">SUM(C36:C38)</f>
        <v>221.8</v>
      </c>
      <c r="D35" s="180">
        <f t="shared" si="11"/>
        <v>149</v>
      </c>
      <c r="E35" s="180">
        <f t="shared" si="11"/>
        <v>145</v>
      </c>
      <c r="F35" s="180">
        <f t="shared" si="11"/>
        <v>4.700000000000003</v>
      </c>
      <c r="G35" s="180">
        <f t="shared" si="11"/>
        <v>181.60000000000002</v>
      </c>
      <c r="H35" s="180">
        <f t="shared" si="11"/>
        <v>11.199999999999989</v>
      </c>
      <c r="I35" s="207">
        <f t="shared" si="1"/>
        <v>81.8755635707845</v>
      </c>
      <c r="J35" s="207">
        <f t="shared" si="2"/>
        <v>121.87919463087249</v>
      </c>
      <c r="K35" s="207">
        <f t="shared" si="6"/>
        <v>125.24137931034485</v>
      </c>
      <c r="L35" s="208">
        <f t="shared" si="3"/>
        <v>-40.19999999999999</v>
      </c>
      <c r="M35" s="208">
        <f t="shared" si="4"/>
        <v>32.60000000000002</v>
      </c>
      <c r="N35" s="208">
        <f t="shared" si="5"/>
        <v>36.60000000000002</v>
      </c>
    </row>
    <row r="36" spans="1:14" ht="26.25">
      <c r="A36" s="204">
        <v>12020000</v>
      </c>
      <c r="B36" s="11" t="s">
        <v>38</v>
      </c>
      <c r="C36" s="178">
        <v>173.3</v>
      </c>
      <c r="D36" s="178">
        <v>59</v>
      </c>
      <c r="E36" s="178">
        <v>59</v>
      </c>
      <c r="F36" s="179">
        <f>E36-'01.11'!E36</f>
        <v>0</v>
      </c>
      <c r="G36" s="178">
        <v>68</v>
      </c>
      <c r="H36" s="179">
        <f>G36-'01.11'!G36</f>
        <v>0</v>
      </c>
      <c r="I36" s="200">
        <f t="shared" si="1"/>
        <v>39.238315060588576</v>
      </c>
      <c r="J36" s="200">
        <f t="shared" si="2"/>
        <v>115.2542372881356</v>
      </c>
      <c r="K36" s="200">
        <f t="shared" si="6"/>
        <v>115.2542372881356</v>
      </c>
      <c r="L36" s="178">
        <f t="shared" si="3"/>
        <v>-105.30000000000001</v>
      </c>
      <c r="M36" s="178">
        <f t="shared" si="4"/>
        <v>9</v>
      </c>
      <c r="N36" s="178">
        <f t="shared" si="5"/>
        <v>9</v>
      </c>
    </row>
    <row r="37" spans="1:14" ht="26.25">
      <c r="A37" s="204">
        <v>12030000</v>
      </c>
      <c r="B37" s="11" t="s">
        <v>39</v>
      </c>
      <c r="C37" s="178">
        <v>24.4</v>
      </c>
      <c r="D37" s="178">
        <v>59.7</v>
      </c>
      <c r="E37" s="178">
        <v>57.7</v>
      </c>
      <c r="F37" s="179">
        <f>E37-'01.11'!E37</f>
        <v>2.700000000000003</v>
      </c>
      <c r="G37" s="178">
        <v>78.8</v>
      </c>
      <c r="H37" s="179">
        <f>G37-'01.11'!G37</f>
        <v>8.599999999999994</v>
      </c>
      <c r="I37" s="200">
        <f>G37/C37*100</f>
        <v>322.95081967213116</v>
      </c>
      <c r="J37" s="200">
        <f>G37/D37*100</f>
        <v>131.99329983249578</v>
      </c>
      <c r="K37" s="200">
        <f>G37/E37*100</f>
        <v>136.56845753899478</v>
      </c>
      <c r="L37" s="178">
        <f t="shared" si="3"/>
        <v>54.4</v>
      </c>
      <c r="M37" s="178">
        <f t="shared" si="4"/>
        <v>19.099999999999994</v>
      </c>
      <c r="N37" s="178">
        <f t="shared" si="5"/>
        <v>21.099999999999994</v>
      </c>
    </row>
    <row r="38" spans="1:14" ht="79.5" customHeight="1">
      <c r="A38" s="204">
        <v>18041500</v>
      </c>
      <c r="B38" s="11" t="s">
        <v>40</v>
      </c>
      <c r="C38" s="178">
        <v>24.1</v>
      </c>
      <c r="D38" s="178">
        <v>30.3</v>
      </c>
      <c r="E38" s="178">
        <v>28.3</v>
      </c>
      <c r="F38" s="179">
        <f>E38-'01.11'!E38</f>
        <v>2</v>
      </c>
      <c r="G38" s="178">
        <v>34.8</v>
      </c>
      <c r="H38" s="179">
        <f>G38-'01.11'!G38</f>
        <v>2.5999999999999943</v>
      </c>
      <c r="I38" s="200">
        <f>G38/C38*100</f>
        <v>144.39834024896263</v>
      </c>
      <c r="J38" s="200">
        <f>G38/D38*100</f>
        <v>114.85148514851484</v>
      </c>
      <c r="K38" s="200">
        <f>G38/E38*100</f>
        <v>122.96819787985865</v>
      </c>
      <c r="L38" s="178">
        <f t="shared" si="3"/>
        <v>10.699999999999996</v>
      </c>
      <c r="M38" s="178">
        <f t="shared" si="4"/>
        <v>4.4999999999999964</v>
      </c>
      <c r="N38" s="178">
        <f t="shared" si="5"/>
        <v>6.4999999999999964</v>
      </c>
    </row>
    <row r="39" spans="1:14" ht="28.5" customHeight="1">
      <c r="A39" s="301" t="s">
        <v>166</v>
      </c>
      <c r="B39" s="301"/>
      <c r="C39" s="208">
        <f aca="true" t="shared" si="12" ref="C39:H39">SUM(C40:C42)</f>
        <v>185.70000000000002</v>
      </c>
      <c r="D39" s="208">
        <f t="shared" si="12"/>
        <v>200</v>
      </c>
      <c r="E39" s="208">
        <f t="shared" si="12"/>
        <v>200</v>
      </c>
      <c r="F39" s="208">
        <f t="shared" si="12"/>
        <v>50</v>
      </c>
      <c r="G39" s="208">
        <f t="shared" si="12"/>
        <v>200.5</v>
      </c>
      <c r="H39" s="208">
        <f t="shared" si="12"/>
        <v>52.599999999999994</v>
      </c>
      <c r="I39" s="207">
        <f t="shared" si="1"/>
        <v>107.96984383414107</v>
      </c>
      <c r="J39" s="207">
        <f t="shared" si="2"/>
        <v>100.25</v>
      </c>
      <c r="K39" s="207">
        <f t="shared" si="6"/>
        <v>100.25</v>
      </c>
      <c r="L39" s="208">
        <f t="shared" si="3"/>
        <v>14.799999999999983</v>
      </c>
      <c r="M39" s="208">
        <f t="shared" si="4"/>
        <v>0.5</v>
      </c>
      <c r="N39" s="208">
        <f t="shared" si="5"/>
        <v>0.5</v>
      </c>
    </row>
    <row r="40" spans="1:14" ht="15.75">
      <c r="A40" s="204">
        <v>19010000</v>
      </c>
      <c r="B40" s="11" t="s">
        <v>42</v>
      </c>
      <c r="C40" s="178">
        <v>167.9</v>
      </c>
      <c r="D40" s="178">
        <v>200</v>
      </c>
      <c r="E40" s="178">
        <v>200</v>
      </c>
      <c r="F40" s="179">
        <f>E40-'01.11'!E40</f>
        <v>50</v>
      </c>
      <c r="G40" s="178">
        <v>200.4</v>
      </c>
      <c r="H40" s="179">
        <f>G40-'01.11'!G40</f>
        <v>52.599999999999994</v>
      </c>
      <c r="I40" s="200">
        <f t="shared" si="1"/>
        <v>119.35675997617629</v>
      </c>
      <c r="J40" s="200">
        <f t="shared" si="2"/>
        <v>100.2</v>
      </c>
      <c r="K40" s="200">
        <f t="shared" si="6"/>
        <v>100.2</v>
      </c>
      <c r="L40" s="178">
        <f t="shared" si="3"/>
        <v>32.5</v>
      </c>
      <c r="M40" s="178">
        <f t="shared" si="4"/>
        <v>0.4000000000000057</v>
      </c>
      <c r="N40" s="178">
        <f t="shared" si="5"/>
        <v>0.4000000000000057</v>
      </c>
    </row>
    <row r="41" spans="1:14" ht="26.25">
      <c r="A41" s="204">
        <v>19050000</v>
      </c>
      <c r="B41" s="11" t="s">
        <v>43</v>
      </c>
      <c r="C41" s="178">
        <v>16.5</v>
      </c>
      <c r="D41" s="178">
        <v>0</v>
      </c>
      <c r="E41" s="178">
        <v>0</v>
      </c>
      <c r="F41" s="179">
        <f>E41-'01.11'!E41</f>
        <v>0</v>
      </c>
      <c r="G41" s="178">
        <v>0.1</v>
      </c>
      <c r="H41" s="179">
        <f>G41-'01.11'!G41</f>
        <v>0</v>
      </c>
      <c r="I41" s="200">
        <f t="shared" si="1"/>
        <v>0.6060606060606061</v>
      </c>
      <c r="J41" s="200" t="e">
        <f t="shared" si="2"/>
        <v>#DIV/0!</v>
      </c>
      <c r="K41" s="200" t="e">
        <f t="shared" si="6"/>
        <v>#DIV/0!</v>
      </c>
      <c r="L41" s="178">
        <f t="shared" si="3"/>
        <v>-16.4</v>
      </c>
      <c r="M41" s="178">
        <f t="shared" si="4"/>
        <v>0.1</v>
      </c>
      <c r="N41" s="178">
        <f t="shared" si="5"/>
        <v>0.1</v>
      </c>
    </row>
    <row r="42" spans="1:14" ht="64.5">
      <c r="A42" s="204">
        <v>24062100</v>
      </c>
      <c r="B42" s="11" t="s">
        <v>56</v>
      </c>
      <c r="C42" s="178">
        <v>1.3</v>
      </c>
      <c r="D42" s="178">
        <v>0</v>
      </c>
      <c r="E42" s="178">
        <v>0</v>
      </c>
      <c r="F42" s="179">
        <f>E42-'01.11'!E42</f>
        <v>0</v>
      </c>
      <c r="G42" s="178">
        <v>0</v>
      </c>
      <c r="H42" s="179">
        <f>G42-'01.11'!G42</f>
        <v>0</v>
      </c>
      <c r="I42" s="200">
        <f t="shared" si="1"/>
        <v>0</v>
      </c>
      <c r="J42" s="200" t="e">
        <f t="shared" si="2"/>
        <v>#DIV/0!</v>
      </c>
      <c r="K42" s="200" t="e">
        <f t="shared" si="6"/>
        <v>#DIV/0!</v>
      </c>
      <c r="L42" s="178">
        <f t="shared" si="3"/>
        <v>-1.3</v>
      </c>
      <c r="M42" s="178">
        <f t="shared" si="4"/>
        <v>0</v>
      </c>
      <c r="N42" s="178">
        <f t="shared" si="5"/>
        <v>0</v>
      </c>
    </row>
    <row r="43" spans="1:14" ht="30.75" customHeight="1">
      <c r="A43" s="301" t="s">
        <v>167</v>
      </c>
      <c r="B43" s="301"/>
      <c r="C43" s="208">
        <f aca="true" t="shared" si="13" ref="C43:H43">SUM(C44:C47)</f>
        <v>1831</v>
      </c>
      <c r="D43" s="208">
        <f t="shared" si="13"/>
        <v>2549.4</v>
      </c>
      <c r="E43" s="208">
        <f>SUM(E44:E47)</f>
        <v>2449.7</v>
      </c>
      <c r="F43" s="208">
        <f t="shared" si="13"/>
        <v>521.9999999999998</v>
      </c>
      <c r="G43" s="208">
        <f t="shared" si="13"/>
        <v>3081.8999999999996</v>
      </c>
      <c r="H43" s="208">
        <f t="shared" si="13"/>
        <v>497.59999999999997</v>
      </c>
      <c r="I43" s="207">
        <f t="shared" si="1"/>
        <v>168.31785909339158</v>
      </c>
      <c r="J43" s="207">
        <f t="shared" si="2"/>
        <v>120.88726759237464</v>
      </c>
      <c r="K43" s="207">
        <f t="shared" si="6"/>
        <v>125.80724170306567</v>
      </c>
      <c r="L43" s="208">
        <f t="shared" si="3"/>
        <v>1250.8999999999996</v>
      </c>
      <c r="M43" s="208">
        <f t="shared" si="4"/>
        <v>532.4999999999995</v>
      </c>
      <c r="N43" s="208">
        <f t="shared" si="5"/>
        <v>632.1999999999998</v>
      </c>
    </row>
    <row r="44" spans="1:14" ht="15.75">
      <c r="A44" s="204">
        <v>18050000</v>
      </c>
      <c r="B44" s="11" t="s">
        <v>44</v>
      </c>
      <c r="C44" s="178">
        <v>1792.5</v>
      </c>
      <c r="D44" s="178">
        <v>2549.4</v>
      </c>
      <c r="E44" s="178">
        <v>2449.7</v>
      </c>
      <c r="F44" s="179">
        <f>E44-'01.11'!E44</f>
        <v>521.9999999999998</v>
      </c>
      <c r="G44" s="178">
        <v>3036.2</v>
      </c>
      <c r="H44" s="179">
        <f>G44-'01.11'!G44</f>
        <v>470</v>
      </c>
      <c r="I44" s="209">
        <f t="shared" si="1"/>
        <v>169.38354253835425</v>
      </c>
      <c r="J44" s="209">
        <f t="shared" si="2"/>
        <v>119.09468894641874</v>
      </c>
      <c r="K44" s="209">
        <f t="shared" si="6"/>
        <v>123.94170714781403</v>
      </c>
      <c r="L44" s="210">
        <f t="shared" si="3"/>
        <v>1243.6999999999998</v>
      </c>
      <c r="M44" s="210">
        <f t="shared" si="4"/>
        <v>486.7999999999997</v>
      </c>
      <c r="N44" s="210">
        <f t="shared" si="5"/>
        <v>586.5</v>
      </c>
    </row>
    <row r="45" spans="1:14" ht="39">
      <c r="A45" s="204">
        <v>24170000</v>
      </c>
      <c r="B45" s="11" t="s">
        <v>196</v>
      </c>
      <c r="C45" s="178">
        <v>0</v>
      </c>
      <c r="D45" s="178">
        <v>0</v>
      </c>
      <c r="E45" s="178">
        <v>0</v>
      </c>
      <c r="F45" s="179">
        <f>E45-'01.11'!E45</f>
        <v>0</v>
      </c>
      <c r="G45" s="178">
        <v>45.7</v>
      </c>
      <c r="H45" s="179">
        <f>G45-'01.11'!G45</f>
        <v>27.700000000000003</v>
      </c>
      <c r="I45" s="209" t="e">
        <f t="shared" si="1"/>
        <v>#DIV/0!</v>
      </c>
      <c r="J45" s="209" t="e">
        <f t="shared" si="2"/>
        <v>#DIV/0!</v>
      </c>
      <c r="K45" s="209" t="e">
        <f t="shared" si="6"/>
        <v>#DIV/0!</v>
      </c>
      <c r="L45" s="210">
        <f t="shared" si="3"/>
        <v>45.7</v>
      </c>
      <c r="M45" s="210">
        <f t="shared" si="4"/>
        <v>45.7</v>
      </c>
      <c r="N45" s="210">
        <f t="shared" si="5"/>
        <v>45.7</v>
      </c>
    </row>
    <row r="46" spans="1:14" ht="0.75" customHeight="1" hidden="1">
      <c r="A46" s="206">
        <v>31030000</v>
      </c>
      <c r="B46" s="11" t="s">
        <v>45</v>
      </c>
      <c r="C46" s="178">
        <v>0</v>
      </c>
      <c r="D46" s="178">
        <v>0</v>
      </c>
      <c r="E46" s="178">
        <v>0</v>
      </c>
      <c r="F46" s="179">
        <f>E46-'01.11'!E46</f>
        <v>0</v>
      </c>
      <c r="G46" s="178">
        <v>0</v>
      </c>
      <c r="H46" s="179">
        <f>G46-'01.11'!G46</f>
        <v>-0.1</v>
      </c>
      <c r="I46" s="209" t="e">
        <f t="shared" si="1"/>
        <v>#DIV/0!</v>
      </c>
      <c r="J46" s="209" t="e">
        <f t="shared" si="2"/>
        <v>#DIV/0!</v>
      </c>
      <c r="K46" s="209" t="e">
        <f t="shared" si="6"/>
        <v>#DIV/0!</v>
      </c>
      <c r="L46" s="210">
        <f t="shared" si="3"/>
        <v>0</v>
      </c>
      <c r="M46" s="210">
        <f t="shared" si="4"/>
        <v>0</v>
      </c>
      <c r="N46" s="210">
        <f t="shared" si="5"/>
        <v>0</v>
      </c>
    </row>
    <row r="47" spans="1:14" ht="15.75">
      <c r="A47" s="206">
        <v>33010000</v>
      </c>
      <c r="B47" s="11" t="s">
        <v>46</v>
      </c>
      <c r="C47" s="178">
        <v>38.5</v>
      </c>
      <c r="D47" s="178">
        <v>0</v>
      </c>
      <c r="E47" s="178">
        <v>0</v>
      </c>
      <c r="F47" s="179">
        <f>E47-'01.11'!E47</f>
        <v>0</v>
      </c>
      <c r="G47" s="178">
        <v>0</v>
      </c>
      <c r="H47" s="179">
        <f>G47-'01.11'!G47</f>
        <v>0</v>
      </c>
      <c r="I47" s="209">
        <f t="shared" si="1"/>
        <v>0</v>
      </c>
      <c r="J47" s="209" t="e">
        <f t="shared" si="2"/>
        <v>#DIV/0!</v>
      </c>
      <c r="K47" s="209" t="e">
        <f t="shared" si="6"/>
        <v>#DIV/0!</v>
      </c>
      <c r="L47" s="210">
        <f t="shared" si="3"/>
        <v>-38.5</v>
      </c>
      <c r="M47" s="210">
        <f t="shared" si="4"/>
        <v>0</v>
      </c>
      <c r="N47" s="210">
        <f t="shared" si="5"/>
        <v>0</v>
      </c>
    </row>
    <row r="48" spans="1:14" ht="17.25" customHeight="1">
      <c r="A48" s="297" t="s">
        <v>199</v>
      </c>
      <c r="B48" s="297"/>
      <c r="C48" s="208">
        <v>79.3</v>
      </c>
      <c r="D48" s="208">
        <v>394.5</v>
      </c>
      <c r="E48" s="208">
        <v>394.5</v>
      </c>
      <c r="F48" s="208">
        <f>E48-'01.11'!E48</f>
        <v>13</v>
      </c>
      <c r="G48" s="208">
        <v>401.2</v>
      </c>
      <c r="H48" s="208">
        <f>G48-'01.11'!G48</f>
        <v>7.699999999999989</v>
      </c>
      <c r="I48" s="207">
        <f>G48/C48*100</f>
        <v>505.92686002522066</v>
      </c>
      <c r="J48" s="207">
        <f>G48/D48*100</f>
        <v>101.69835234474019</v>
      </c>
      <c r="K48" s="207">
        <f>G48/E48*100</f>
        <v>101.69835234474019</v>
      </c>
      <c r="L48" s="208">
        <f t="shared" si="3"/>
        <v>321.9</v>
      </c>
      <c r="M48" s="208">
        <f t="shared" si="4"/>
        <v>6.699999999999989</v>
      </c>
      <c r="N48" s="208">
        <f t="shared" si="5"/>
        <v>6.699999999999989</v>
      </c>
    </row>
    <row r="49" spans="1:14" ht="22.5" customHeight="1">
      <c r="A49" s="211" t="s">
        <v>51</v>
      </c>
      <c r="B49" s="21"/>
      <c r="C49" s="208">
        <v>3862.9</v>
      </c>
      <c r="D49" s="208">
        <v>3810.1</v>
      </c>
      <c r="E49" s="208">
        <f>3810.1/12*11</f>
        <v>3492.5916666666667</v>
      </c>
      <c r="F49" s="208">
        <f>E49-'01.11'!E49</f>
        <v>317.4916666666668</v>
      </c>
      <c r="G49" s="208">
        <v>3945.7</v>
      </c>
      <c r="H49" s="208">
        <f>G49-'01.11'!G49</f>
        <v>497.59999999999945</v>
      </c>
      <c r="I49" s="207">
        <f>G49/C49*100</f>
        <v>102.14346734318775</v>
      </c>
      <c r="J49" s="207">
        <f>G49/D49*100</f>
        <v>103.5589617070418</v>
      </c>
      <c r="K49" s="207">
        <f>G49/E49*100</f>
        <v>112.97341277131834</v>
      </c>
      <c r="L49" s="208">
        <f>G49-C49</f>
        <v>82.79999999999973</v>
      </c>
      <c r="M49" s="208">
        <f>G49-D49</f>
        <v>135.5999999999999</v>
      </c>
      <c r="N49" s="208">
        <f>G49-E49</f>
        <v>453.1083333333331</v>
      </c>
    </row>
    <row r="50" spans="1:14" ht="24.75" customHeight="1">
      <c r="A50" s="19" t="s">
        <v>48</v>
      </c>
      <c r="B50" s="217"/>
      <c r="C50" s="22">
        <f aca="true" t="shared" si="14" ref="C50:H50">C35+C39+C43+C48+C49</f>
        <v>6180.700000000001</v>
      </c>
      <c r="D50" s="22">
        <f t="shared" si="14"/>
        <v>7103</v>
      </c>
      <c r="E50" s="22">
        <f t="shared" si="14"/>
        <v>6681.791666666666</v>
      </c>
      <c r="F50" s="22">
        <f t="shared" si="14"/>
        <v>907.1916666666666</v>
      </c>
      <c r="G50" s="22">
        <f t="shared" si="14"/>
        <v>7810.9</v>
      </c>
      <c r="H50" s="22">
        <f t="shared" si="14"/>
        <v>1066.6999999999994</v>
      </c>
      <c r="I50" s="25">
        <f>G50/C50*100</f>
        <v>126.37565324316013</v>
      </c>
      <c r="J50" s="25">
        <f>G50/D50*100</f>
        <v>109.96621145994649</v>
      </c>
      <c r="K50" s="25">
        <f>G50/E50*100</f>
        <v>116.89828701134302</v>
      </c>
      <c r="L50" s="22">
        <f>G50-C50</f>
        <v>1630.199999999999</v>
      </c>
      <c r="M50" s="22">
        <f>G50-D50</f>
        <v>707.8999999999996</v>
      </c>
      <c r="N50" s="22">
        <f>G50-E50</f>
        <v>1129.1083333333336</v>
      </c>
    </row>
    <row r="51" spans="1:14" ht="28.5" customHeight="1">
      <c r="A51" s="205">
        <v>40000000</v>
      </c>
      <c r="B51" s="20" t="s">
        <v>32</v>
      </c>
      <c r="C51" s="180">
        <f aca="true" t="shared" si="15" ref="C51:H51">SUM(C52:C54)</f>
        <v>3750.4</v>
      </c>
      <c r="D51" s="180">
        <f t="shared" si="15"/>
        <v>6271.2</v>
      </c>
      <c r="E51" s="180">
        <f t="shared" si="15"/>
        <v>5666.400000000001</v>
      </c>
      <c r="F51" s="180">
        <f t="shared" si="15"/>
        <v>576.6000000000004</v>
      </c>
      <c r="G51" s="180">
        <f t="shared" si="15"/>
        <v>5614.900000000001</v>
      </c>
      <c r="H51" s="180">
        <f t="shared" si="15"/>
        <v>525.1000000000004</v>
      </c>
      <c r="I51" s="201">
        <f t="shared" si="1"/>
        <v>149.7146970989761</v>
      </c>
      <c r="J51" s="201">
        <f t="shared" si="2"/>
        <v>89.53469830335503</v>
      </c>
      <c r="K51" s="201">
        <f t="shared" si="6"/>
        <v>99.09113370040943</v>
      </c>
      <c r="L51" s="180">
        <f t="shared" si="3"/>
        <v>1864.5000000000005</v>
      </c>
      <c r="M51" s="180">
        <f t="shared" si="4"/>
        <v>-656.2999999999993</v>
      </c>
      <c r="N51" s="180">
        <f t="shared" si="5"/>
        <v>-51.5</v>
      </c>
    </row>
    <row r="52" spans="1:14" ht="67.5" customHeight="1">
      <c r="A52" s="206">
        <v>41034401</v>
      </c>
      <c r="B52" s="11" t="s">
        <v>161</v>
      </c>
      <c r="C52" s="210">
        <v>0</v>
      </c>
      <c r="D52" s="210">
        <v>1136.1</v>
      </c>
      <c r="E52" s="210">
        <v>1032.3</v>
      </c>
      <c r="F52" s="179">
        <f>E52-'01.11'!E52</f>
        <v>106.09999999999991</v>
      </c>
      <c r="G52" s="210">
        <v>1032.3</v>
      </c>
      <c r="H52" s="179">
        <f>G52-'01.11'!G52</f>
        <v>106.09999999999991</v>
      </c>
      <c r="I52" s="209" t="e">
        <f t="shared" si="1"/>
        <v>#DIV/0!</v>
      </c>
      <c r="J52" s="209">
        <f t="shared" si="2"/>
        <v>90.86348032743597</v>
      </c>
      <c r="K52" s="209">
        <f t="shared" si="6"/>
        <v>100</v>
      </c>
      <c r="L52" s="210">
        <f t="shared" si="3"/>
        <v>1032.3</v>
      </c>
      <c r="M52" s="210">
        <f t="shared" si="4"/>
        <v>-103.79999999999995</v>
      </c>
      <c r="N52" s="210">
        <f t="shared" si="5"/>
        <v>0</v>
      </c>
    </row>
    <row r="53" spans="1:14" ht="21.75" customHeight="1">
      <c r="A53" s="206">
        <v>41035001</v>
      </c>
      <c r="B53" s="11" t="s">
        <v>163</v>
      </c>
      <c r="C53" s="210">
        <v>0</v>
      </c>
      <c r="D53" s="210">
        <v>505.3</v>
      </c>
      <c r="E53" s="210">
        <v>458.5</v>
      </c>
      <c r="F53" s="179">
        <f>E53-'01.11'!E53</f>
        <v>51.5</v>
      </c>
      <c r="G53" s="210">
        <v>407</v>
      </c>
      <c r="H53" s="179">
        <f>G53-'01.11'!G53</f>
        <v>0</v>
      </c>
      <c r="I53" s="209" t="e">
        <f>G53/C53*100</f>
        <v>#DIV/0!</v>
      </c>
      <c r="J53" s="209">
        <f>G53/D53*100</f>
        <v>80.54621017217495</v>
      </c>
      <c r="K53" s="209">
        <f>G53/E53*100</f>
        <v>88.76772082878954</v>
      </c>
      <c r="L53" s="210">
        <f>G53-C53</f>
        <v>407</v>
      </c>
      <c r="M53" s="210">
        <f>G53-D53</f>
        <v>-98.30000000000001</v>
      </c>
      <c r="N53" s="210">
        <f>G53-E53</f>
        <v>-51.5</v>
      </c>
    </row>
    <row r="54" spans="1:14" ht="87.75" customHeight="1">
      <c r="A54" s="206">
        <v>41035101</v>
      </c>
      <c r="B54" s="11" t="s">
        <v>49</v>
      </c>
      <c r="C54" s="210">
        <v>3750.4</v>
      </c>
      <c r="D54" s="210">
        <v>4629.8</v>
      </c>
      <c r="E54" s="210">
        <v>4175.6</v>
      </c>
      <c r="F54" s="179">
        <f>E54-'01.11'!E54</f>
        <v>419.00000000000045</v>
      </c>
      <c r="G54" s="210">
        <v>4175.6</v>
      </c>
      <c r="H54" s="179">
        <f>G54-'01.11'!G54</f>
        <v>419.00000000000045</v>
      </c>
      <c r="I54" s="209">
        <f>G54/C54*100</f>
        <v>111.33745733788396</v>
      </c>
      <c r="J54" s="209">
        <f>G54/D54*100</f>
        <v>90.18964102121042</v>
      </c>
      <c r="K54" s="209">
        <f>G54/E54*100</f>
        <v>100</v>
      </c>
      <c r="L54" s="210">
        <f>G54-C54</f>
        <v>425.2000000000003</v>
      </c>
      <c r="M54" s="210">
        <f>G54-D54</f>
        <v>-454.1999999999998</v>
      </c>
      <c r="N54" s="210">
        <f>G54-E54</f>
        <v>0</v>
      </c>
    </row>
    <row r="55" spans="1:14" ht="39.75" customHeight="1">
      <c r="A55" s="298" t="s">
        <v>52</v>
      </c>
      <c r="B55" s="298"/>
      <c r="C55" s="212">
        <f aca="true" t="shared" si="16" ref="C55:H55">C50+C51</f>
        <v>9931.1</v>
      </c>
      <c r="D55" s="212">
        <f t="shared" si="16"/>
        <v>13374.2</v>
      </c>
      <c r="E55" s="212">
        <f t="shared" si="16"/>
        <v>12348.191666666666</v>
      </c>
      <c r="F55" s="212">
        <f t="shared" si="16"/>
        <v>1483.791666666667</v>
      </c>
      <c r="G55" s="212">
        <f t="shared" si="16"/>
        <v>13425.8</v>
      </c>
      <c r="H55" s="212">
        <f t="shared" si="16"/>
        <v>1591.7999999999997</v>
      </c>
      <c r="I55" s="213">
        <f t="shared" si="1"/>
        <v>135.1894553473432</v>
      </c>
      <c r="J55" s="213">
        <f t="shared" si="2"/>
        <v>100.3858174694561</v>
      </c>
      <c r="K55" s="213">
        <f t="shared" si="6"/>
        <v>108.72685136757542</v>
      </c>
      <c r="L55" s="212">
        <f t="shared" si="3"/>
        <v>3494.699999999999</v>
      </c>
      <c r="M55" s="212">
        <f t="shared" si="4"/>
        <v>51.599999999998545</v>
      </c>
      <c r="N55" s="212">
        <f t="shared" si="5"/>
        <v>1077.6083333333336</v>
      </c>
    </row>
    <row r="56" spans="1:14" ht="40.5" customHeight="1">
      <c r="A56" s="311" t="s">
        <v>53</v>
      </c>
      <c r="B56" s="311"/>
      <c r="C56" s="214">
        <f aca="true" t="shared" si="17" ref="C56:H56">C33+C55</f>
        <v>121754.1</v>
      </c>
      <c r="D56" s="214">
        <f t="shared" si="17"/>
        <v>169739.40000000002</v>
      </c>
      <c r="E56" s="214">
        <f t="shared" si="17"/>
        <v>151724.9916666667</v>
      </c>
      <c r="F56" s="214">
        <f t="shared" si="17"/>
        <v>14325.791666666675</v>
      </c>
      <c r="G56" s="214">
        <f t="shared" si="17"/>
        <v>150731.19999999998</v>
      </c>
      <c r="H56" s="214">
        <f t="shared" si="17"/>
        <v>14769.100000000002</v>
      </c>
      <c r="I56" s="215">
        <f t="shared" si="1"/>
        <v>123.79969134509636</v>
      </c>
      <c r="J56" s="215">
        <f t="shared" si="2"/>
        <v>88.80153930083408</v>
      </c>
      <c r="K56" s="215">
        <f t="shared" si="6"/>
        <v>99.34500463255912</v>
      </c>
      <c r="L56" s="214">
        <f t="shared" si="3"/>
        <v>28977.099999999977</v>
      </c>
      <c r="M56" s="214">
        <f t="shared" si="4"/>
        <v>-19008.20000000004</v>
      </c>
      <c r="N56" s="214">
        <f t="shared" si="5"/>
        <v>-993.7916666667152</v>
      </c>
    </row>
    <row r="57" spans="2:8" ht="12.75">
      <c r="B57" s="6"/>
      <c r="C57" s="24"/>
      <c r="D57" s="24">
        <f>D50+D29</f>
        <v>124423.2</v>
      </c>
      <c r="E57" s="24">
        <f>122525.8-D57</f>
        <v>-1897.3999999999942</v>
      </c>
      <c r="F57" s="24"/>
      <c r="G57" s="24"/>
      <c r="H57" s="24"/>
    </row>
  </sheetData>
  <mergeCells count="31">
    <mergeCell ref="A48:B48"/>
    <mergeCell ref="A56:B56"/>
    <mergeCell ref="A55:B55"/>
    <mergeCell ref="D6:D7"/>
    <mergeCell ref="A9:N9"/>
    <mergeCell ref="M6:M7"/>
    <mergeCell ref="J6:J7"/>
    <mergeCell ref="K6:K7"/>
    <mergeCell ref="L6:L7"/>
    <mergeCell ref="E6:F6"/>
    <mergeCell ref="L1:N1"/>
    <mergeCell ref="A3:N3"/>
    <mergeCell ref="A5:A7"/>
    <mergeCell ref="B5:B7"/>
    <mergeCell ref="C5:C7"/>
    <mergeCell ref="D5:F5"/>
    <mergeCell ref="G5:H5"/>
    <mergeCell ref="I5:K5"/>
    <mergeCell ref="N6:N7"/>
    <mergeCell ref="L5:N5"/>
    <mergeCell ref="A13:B13"/>
    <mergeCell ref="A28:B28"/>
    <mergeCell ref="H6:H7"/>
    <mergeCell ref="I6:I7"/>
    <mergeCell ref="G6:G7"/>
    <mergeCell ref="A43:B43"/>
    <mergeCell ref="A35:B35"/>
    <mergeCell ref="A29:B29"/>
    <mergeCell ref="A33:B33"/>
    <mergeCell ref="A34:N34"/>
    <mergeCell ref="A39:B39"/>
  </mergeCells>
  <printOptions/>
  <pageMargins left="0.6" right="0.42" top="1" bottom="0.71" header="0.5" footer="0.5"/>
  <pageSetup fitToHeight="1" fitToWidth="1" horizontalDpi="600" verticalDpi="600" orientation="portrait" paperSize="9" scale="4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tabSelected="1" view="pageBreakPreview" zoomScale="75" zoomScaleSheetLayoutView="75" workbookViewId="0" topLeftCell="A55">
      <selection activeCell="B56" sqref="B56"/>
    </sheetView>
  </sheetViews>
  <sheetFormatPr defaultColWidth="9.00390625" defaultRowHeight="12.75"/>
  <cols>
    <col min="1" max="1" width="11.25390625" style="5" customWidth="1"/>
    <col min="2" max="2" width="52.75390625" style="5" customWidth="1"/>
    <col min="3" max="3" width="22.375" style="0" hidden="1" customWidth="1"/>
    <col min="4" max="4" width="20.25390625" style="0" customWidth="1"/>
    <col min="5" max="5" width="12.125" style="0" hidden="1" customWidth="1"/>
    <col min="6" max="6" width="24.625" style="0" customWidth="1"/>
    <col min="7" max="7" width="17.00390625" style="0" hidden="1" customWidth="1"/>
    <col min="8" max="8" width="14.125" style="13" hidden="1" customWidth="1"/>
    <col min="9" max="9" width="16.375" style="13" customWidth="1"/>
    <col min="10" max="10" width="13.875" style="13" hidden="1" customWidth="1"/>
    <col min="11" max="11" width="14.375" style="0" hidden="1" customWidth="1"/>
    <col min="12" max="12" width="18.75390625" style="0" customWidth="1"/>
    <col min="13" max="13" width="11.00390625" style="0" hidden="1" customWidth="1"/>
  </cols>
  <sheetData>
    <row r="1" spans="9:13" ht="15">
      <c r="I1" s="238" t="s">
        <v>226</v>
      </c>
      <c r="K1" s="321"/>
      <c r="L1" s="321"/>
      <c r="M1" s="321"/>
    </row>
    <row r="2" ht="15">
      <c r="I2" s="238" t="s">
        <v>227</v>
      </c>
    </row>
    <row r="3" ht="15">
      <c r="I3" s="238" t="s">
        <v>228</v>
      </c>
    </row>
    <row r="4" ht="12.75">
      <c r="I4" s="258"/>
    </row>
    <row r="5" spans="1:13" ht="18.75">
      <c r="A5" s="322" t="s">
        <v>232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</row>
    <row r="6" spans="12:13" ht="12.75">
      <c r="L6" s="27"/>
      <c r="M6" s="27" t="s">
        <v>59</v>
      </c>
    </row>
    <row r="7" spans="1:13" s="230" customFormat="1" ht="15" customHeight="1">
      <c r="A7" s="318" t="s">
        <v>5</v>
      </c>
      <c r="B7" s="318" t="s">
        <v>7</v>
      </c>
      <c r="C7" s="323" t="s">
        <v>191</v>
      </c>
      <c r="D7" s="326" t="s">
        <v>213</v>
      </c>
      <c r="E7" s="327"/>
      <c r="F7" s="326" t="s">
        <v>212</v>
      </c>
      <c r="G7" s="327"/>
      <c r="H7" s="63" t="s">
        <v>0</v>
      </c>
      <c r="I7" s="318" t="s">
        <v>215</v>
      </c>
      <c r="J7" s="253"/>
      <c r="K7" s="337" t="s">
        <v>214</v>
      </c>
      <c r="L7" s="337"/>
      <c r="M7" s="337"/>
    </row>
    <row r="8" spans="1:13" s="230" customFormat="1" ht="15" customHeight="1">
      <c r="A8" s="319"/>
      <c r="B8" s="319"/>
      <c r="C8" s="324"/>
      <c r="D8" s="328"/>
      <c r="E8" s="329"/>
      <c r="F8" s="328"/>
      <c r="G8" s="329"/>
      <c r="H8" s="254" t="s">
        <v>192</v>
      </c>
      <c r="I8" s="319"/>
      <c r="J8" s="255" t="s">
        <v>4</v>
      </c>
      <c r="K8" s="337"/>
      <c r="L8" s="337"/>
      <c r="M8" s="337"/>
    </row>
    <row r="9" spans="1:13" s="230" customFormat="1" ht="57" customHeight="1">
      <c r="A9" s="320"/>
      <c r="B9" s="320"/>
      <c r="C9" s="325"/>
      <c r="D9" s="330"/>
      <c r="E9" s="331"/>
      <c r="F9" s="330"/>
      <c r="G9" s="331"/>
      <c r="H9" s="256"/>
      <c r="I9" s="320"/>
      <c r="J9" s="257"/>
      <c r="K9" s="337"/>
      <c r="L9" s="337"/>
      <c r="M9" s="337"/>
    </row>
    <row r="10" spans="1:13" s="225" customFormat="1" ht="12.75">
      <c r="A10" s="226">
        <v>1</v>
      </c>
      <c r="B10" s="227">
        <v>2</v>
      </c>
      <c r="C10" s="228">
        <v>3</v>
      </c>
      <c r="D10" s="228">
        <v>3</v>
      </c>
      <c r="E10" s="229">
        <v>5</v>
      </c>
      <c r="F10" s="228">
        <v>4</v>
      </c>
      <c r="G10" s="228">
        <v>7</v>
      </c>
      <c r="H10" s="228">
        <v>6</v>
      </c>
      <c r="I10" s="228">
        <v>5</v>
      </c>
      <c r="J10" s="228">
        <v>10</v>
      </c>
      <c r="K10" s="228">
        <v>8</v>
      </c>
      <c r="L10" s="228">
        <v>6</v>
      </c>
      <c r="M10" s="228">
        <v>13</v>
      </c>
    </row>
    <row r="11" spans="1:13" ht="24" customHeight="1">
      <c r="A11" s="337" t="s">
        <v>216</v>
      </c>
      <c r="B11" s="337"/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</row>
    <row r="12" spans="1:13" ht="68.25" customHeight="1">
      <c r="A12" s="242">
        <v>11010000</v>
      </c>
      <c r="B12" s="243" t="s">
        <v>221</v>
      </c>
      <c r="C12" s="208">
        <v>82924.9</v>
      </c>
      <c r="D12" s="178">
        <v>102044.7</v>
      </c>
      <c r="E12" s="179">
        <f>D12-'01.12'!E10</f>
        <v>10043.199999999997</v>
      </c>
      <c r="F12" s="178">
        <v>99681.5</v>
      </c>
      <c r="G12" s="179">
        <f>F12-'01.12'!G10</f>
        <v>10344.199999999997</v>
      </c>
      <c r="H12" s="235">
        <f aca="true" t="shared" si="0" ref="H12:H36">F12/C12*100</f>
        <v>120.20695834423678</v>
      </c>
      <c r="I12" s="235">
        <f>F12-D12</f>
        <v>-2363.199999999997</v>
      </c>
      <c r="J12" s="235" t="e">
        <f>F12/#REF!*100</f>
        <v>#REF!</v>
      </c>
      <c r="K12" s="221">
        <f aca="true" t="shared" si="1" ref="K12:K36">F12-C12</f>
        <v>16756.600000000006</v>
      </c>
      <c r="L12" s="221">
        <f>F12/D12*100</f>
        <v>97.6841521411695</v>
      </c>
      <c r="M12" s="178" t="e">
        <f>F12-#REF!</f>
        <v>#REF!</v>
      </c>
    </row>
    <row r="13" spans="1:13" ht="54.75" customHeight="1">
      <c r="A13" s="242">
        <v>22010300</v>
      </c>
      <c r="B13" s="243" t="s">
        <v>10</v>
      </c>
      <c r="C13" s="208">
        <v>16.4</v>
      </c>
      <c r="D13" s="178">
        <v>13.5</v>
      </c>
      <c r="E13" s="179">
        <v>0</v>
      </c>
      <c r="F13" s="178">
        <v>13.6</v>
      </c>
      <c r="G13" s="179">
        <f>F13-'01.12'!G11</f>
        <v>0.5999999999999996</v>
      </c>
      <c r="H13" s="235">
        <f t="shared" si="0"/>
        <v>82.92682926829269</v>
      </c>
      <c r="I13" s="235">
        <f aca="true" t="shared" si="2" ref="I13:I36">F13-D13</f>
        <v>0.09999999999999964</v>
      </c>
      <c r="J13" s="235" t="e">
        <f>F13/#REF!*100</f>
        <v>#REF!</v>
      </c>
      <c r="K13" s="221">
        <f t="shared" si="1"/>
        <v>-2.799999999999999</v>
      </c>
      <c r="L13" s="221">
        <f>F13/D13*100</f>
        <v>100.74074074074073</v>
      </c>
      <c r="M13" s="178" t="e">
        <f>F13-#REF!</f>
        <v>#REF!</v>
      </c>
    </row>
    <row r="14" spans="1:13" ht="18.75" customHeight="1">
      <c r="A14" s="242">
        <v>22090000</v>
      </c>
      <c r="B14" s="243" t="s">
        <v>11</v>
      </c>
      <c r="C14" s="208">
        <v>58.7</v>
      </c>
      <c r="D14" s="178">
        <v>60</v>
      </c>
      <c r="E14" s="179">
        <f>D14-'01.12'!E12</f>
        <v>5.700000000000003</v>
      </c>
      <c r="F14" s="178">
        <v>96.3</v>
      </c>
      <c r="G14" s="179">
        <f>F14-'01.12'!G12</f>
        <v>21.599999999999994</v>
      </c>
      <c r="H14" s="235">
        <f t="shared" si="0"/>
        <v>164.05451448040884</v>
      </c>
      <c r="I14" s="235">
        <f t="shared" si="2"/>
        <v>36.3</v>
      </c>
      <c r="J14" s="235" t="e">
        <f>F14/#REF!*100</f>
        <v>#REF!</v>
      </c>
      <c r="K14" s="221">
        <f t="shared" si="1"/>
        <v>37.599999999999994</v>
      </c>
      <c r="L14" s="221">
        <f aca="true" t="shared" si="3" ref="L14:L36">F14/D14*100</f>
        <v>160.5</v>
      </c>
      <c r="M14" s="178" t="e">
        <f>F14-#REF!</f>
        <v>#REF!</v>
      </c>
    </row>
    <row r="15" spans="1:13" ht="30" customHeight="1">
      <c r="A15" s="334" t="s">
        <v>12</v>
      </c>
      <c r="B15" s="334"/>
      <c r="C15" s="210">
        <f>SUM(C12:C14)</f>
        <v>82999.99999999999</v>
      </c>
      <c r="D15" s="210">
        <f>SUM(D12:D14)</f>
        <v>102118.2</v>
      </c>
      <c r="E15" s="210">
        <f>SUM(E12:E14)</f>
        <v>10048.899999999998</v>
      </c>
      <c r="F15" s="210">
        <f>SUM(F12:F14)</f>
        <v>99791.40000000001</v>
      </c>
      <c r="G15" s="210">
        <f>SUM(G12:G14)</f>
        <v>10366.399999999998</v>
      </c>
      <c r="H15" s="239">
        <f t="shared" si="0"/>
        <v>120.23060240963859</v>
      </c>
      <c r="I15" s="235">
        <f t="shared" si="2"/>
        <v>-2326.7999999999884</v>
      </c>
      <c r="J15" s="239" t="e">
        <f>F15/#REF!*100</f>
        <v>#REF!</v>
      </c>
      <c r="K15" s="240">
        <f t="shared" si="1"/>
        <v>16791.400000000023</v>
      </c>
      <c r="L15" s="221">
        <f t="shared" si="3"/>
        <v>97.72146395059843</v>
      </c>
      <c r="M15" s="180" t="e">
        <f>F15-#REF!</f>
        <v>#REF!</v>
      </c>
    </row>
    <row r="16" spans="1:13" ht="31.5">
      <c r="A16" s="243">
        <v>11010600</v>
      </c>
      <c r="B16" s="243" t="s">
        <v>14</v>
      </c>
      <c r="C16" s="208">
        <v>60.5</v>
      </c>
      <c r="D16" s="178">
        <v>0</v>
      </c>
      <c r="E16" s="179">
        <v>0</v>
      </c>
      <c r="F16" s="178">
        <v>-0.4</v>
      </c>
      <c r="G16" s="179">
        <v>0</v>
      </c>
      <c r="H16" s="235">
        <f t="shared" si="0"/>
        <v>-0.6611570247933884</v>
      </c>
      <c r="I16" s="235">
        <f t="shared" si="2"/>
        <v>-0.4</v>
      </c>
      <c r="J16" s="235" t="e">
        <f>F16/#REF!*100</f>
        <v>#REF!</v>
      </c>
      <c r="K16" s="221">
        <f t="shared" si="1"/>
        <v>-60.9</v>
      </c>
      <c r="L16" s="221"/>
      <c r="M16" s="178" t="e">
        <f>F16-#REF!</f>
        <v>#REF!</v>
      </c>
    </row>
    <row r="17" spans="1:13" ht="31.5">
      <c r="A17" s="245" t="s">
        <v>15</v>
      </c>
      <c r="B17" s="78" t="s">
        <v>16</v>
      </c>
      <c r="C17" s="208">
        <v>179.4</v>
      </c>
      <c r="D17" s="178">
        <v>100</v>
      </c>
      <c r="E17" s="179">
        <f>D17-'01.12'!E15</f>
        <v>1.7999999999999972</v>
      </c>
      <c r="F17" s="178">
        <v>225.4</v>
      </c>
      <c r="G17" s="179">
        <v>0</v>
      </c>
      <c r="H17" s="235">
        <f t="shared" si="0"/>
        <v>125.64102564102564</v>
      </c>
      <c r="I17" s="235">
        <f t="shared" si="2"/>
        <v>125.4</v>
      </c>
      <c r="J17" s="235" t="e">
        <f>F17/#REF!*100</f>
        <v>#REF!</v>
      </c>
      <c r="K17" s="221">
        <f t="shared" si="1"/>
        <v>46</v>
      </c>
      <c r="L17" s="221">
        <f t="shared" si="3"/>
        <v>225.4</v>
      </c>
      <c r="M17" s="178" t="e">
        <f>F17-#REF!</f>
        <v>#REF!</v>
      </c>
    </row>
    <row r="18" spans="1:13" ht="15" customHeight="1">
      <c r="A18" s="246">
        <v>13050000</v>
      </c>
      <c r="B18" s="243" t="s">
        <v>60</v>
      </c>
      <c r="C18" s="208">
        <v>14181.6</v>
      </c>
      <c r="D18" s="178">
        <v>13786.7</v>
      </c>
      <c r="E18" s="179">
        <f>D18-'01.12'!E16</f>
        <v>1113.6000000000004</v>
      </c>
      <c r="F18" s="178">
        <v>14480.2</v>
      </c>
      <c r="G18" s="179">
        <f>F18-'01.12'!G16</f>
        <v>1183.800000000001</v>
      </c>
      <c r="H18" s="235">
        <f t="shared" si="0"/>
        <v>102.10554521351611</v>
      </c>
      <c r="I18" s="235">
        <f t="shared" si="2"/>
        <v>693.5</v>
      </c>
      <c r="J18" s="235" t="e">
        <f>F18/#REF!*100</f>
        <v>#REF!</v>
      </c>
      <c r="K18" s="221">
        <f t="shared" si="1"/>
        <v>298.60000000000036</v>
      </c>
      <c r="L18" s="221">
        <f t="shared" si="3"/>
        <v>105.03021027512023</v>
      </c>
      <c r="M18" s="178" t="e">
        <f>F18-#REF!</f>
        <v>#REF!</v>
      </c>
    </row>
    <row r="19" spans="1:13" ht="31.5">
      <c r="A19" s="246">
        <v>16010000</v>
      </c>
      <c r="B19" s="243" t="s">
        <v>18</v>
      </c>
      <c r="C19" s="208">
        <v>90.2</v>
      </c>
      <c r="D19" s="178">
        <v>0</v>
      </c>
      <c r="E19" s="179">
        <v>0</v>
      </c>
      <c r="F19" s="178">
        <v>-0.1</v>
      </c>
      <c r="G19" s="179">
        <v>0</v>
      </c>
      <c r="H19" s="235">
        <f t="shared" si="0"/>
        <v>-0.11086474501108648</v>
      </c>
      <c r="I19" s="235">
        <f t="shared" si="2"/>
        <v>-0.1</v>
      </c>
      <c r="J19" s="235" t="e">
        <f>F19/#REF!*100</f>
        <v>#REF!</v>
      </c>
      <c r="K19" s="221">
        <f t="shared" si="1"/>
        <v>-90.3</v>
      </c>
      <c r="L19" s="221"/>
      <c r="M19" s="178" t="e">
        <f>F19-#REF!</f>
        <v>#REF!</v>
      </c>
    </row>
    <row r="20" spans="1:13" ht="31.5">
      <c r="A20" s="246">
        <v>18000000</v>
      </c>
      <c r="B20" s="243" t="s">
        <v>222</v>
      </c>
      <c r="C20" s="208">
        <f>C21+C22+C23</f>
        <v>242.5</v>
      </c>
      <c r="D20" s="210">
        <f>D21+D22+D23</f>
        <v>242</v>
      </c>
      <c r="E20" s="210">
        <f>D20-'01.12'!E17</f>
        <v>20.69999999999999</v>
      </c>
      <c r="F20" s="210">
        <f>F21+F22+F23</f>
        <v>275.29999999999995</v>
      </c>
      <c r="G20" s="208">
        <f>F20-'01.12'!G17</f>
        <v>22.999999999999943</v>
      </c>
      <c r="H20" s="235">
        <f t="shared" si="0"/>
        <v>113.52577319587627</v>
      </c>
      <c r="I20" s="235">
        <f t="shared" si="2"/>
        <v>33.299999999999955</v>
      </c>
      <c r="J20" s="235" t="e">
        <f>F20/#REF!*100</f>
        <v>#REF!</v>
      </c>
      <c r="K20" s="221">
        <f t="shared" si="1"/>
        <v>32.799999999999955</v>
      </c>
      <c r="L20" s="221">
        <f t="shared" si="3"/>
        <v>113.76033057851238</v>
      </c>
      <c r="M20" s="178" t="e">
        <f>F20-#REF!</f>
        <v>#REF!</v>
      </c>
    </row>
    <row r="21" spans="1:13" ht="15.75">
      <c r="A21" s="246">
        <v>18020000</v>
      </c>
      <c r="B21" s="242" t="s">
        <v>19</v>
      </c>
      <c r="C21" s="208">
        <v>0.1</v>
      </c>
      <c r="D21" s="178">
        <v>0</v>
      </c>
      <c r="E21" s="179">
        <f>0</f>
        <v>0</v>
      </c>
      <c r="F21" s="178">
        <v>0</v>
      </c>
      <c r="G21" s="179">
        <v>0</v>
      </c>
      <c r="H21" s="235">
        <f t="shared" si="0"/>
        <v>0</v>
      </c>
      <c r="I21" s="235">
        <f t="shared" si="2"/>
        <v>0</v>
      </c>
      <c r="J21" s="235" t="e">
        <f>F21/#REF!*100</f>
        <v>#REF!</v>
      </c>
      <c r="K21" s="221">
        <f t="shared" si="1"/>
        <v>-0.1</v>
      </c>
      <c r="L21" s="221"/>
      <c r="M21" s="178" t="e">
        <f>F21-#REF!</f>
        <v>#REF!</v>
      </c>
    </row>
    <row r="22" spans="1:13" ht="15.75">
      <c r="A22" s="246">
        <v>18030000</v>
      </c>
      <c r="B22" s="242" t="s">
        <v>20</v>
      </c>
      <c r="C22" s="208">
        <f>3.6</f>
        <v>3.6</v>
      </c>
      <c r="D22" s="178">
        <v>2</v>
      </c>
      <c r="E22" s="179">
        <f>D22-'01.12'!E19</f>
        <v>0.10000000000000009</v>
      </c>
      <c r="F22" s="178">
        <v>8.9</v>
      </c>
      <c r="G22" s="179">
        <f>F22-'01.12'!G19</f>
        <v>0.40000000000000036</v>
      </c>
      <c r="H22" s="235">
        <f t="shared" si="0"/>
        <v>247.22222222222223</v>
      </c>
      <c r="I22" s="235">
        <f t="shared" si="2"/>
        <v>6.9</v>
      </c>
      <c r="J22" s="235" t="e">
        <f>F22/#REF!*100</f>
        <v>#REF!</v>
      </c>
      <c r="K22" s="221">
        <f t="shared" si="1"/>
        <v>5.300000000000001</v>
      </c>
      <c r="L22" s="221">
        <f t="shared" si="3"/>
        <v>445</v>
      </c>
      <c r="M22" s="178" t="e">
        <f>F22-#REF!</f>
        <v>#REF!</v>
      </c>
    </row>
    <row r="23" spans="1:13" ht="31.5">
      <c r="A23" s="246">
        <v>18040000</v>
      </c>
      <c r="B23" s="243" t="s">
        <v>21</v>
      </c>
      <c r="C23" s="208">
        <v>238.8</v>
      </c>
      <c r="D23" s="178">
        <v>240</v>
      </c>
      <c r="E23" s="179">
        <f>D23-'01.12'!E20</f>
        <v>20.599999999999994</v>
      </c>
      <c r="F23" s="178">
        <v>266.4</v>
      </c>
      <c r="G23" s="179">
        <f>F23-'01.12'!G20</f>
        <v>22.599999999999966</v>
      </c>
      <c r="H23" s="235">
        <f t="shared" si="0"/>
        <v>111.55778894472361</v>
      </c>
      <c r="I23" s="235">
        <f t="shared" si="2"/>
        <v>26.399999999999977</v>
      </c>
      <c r="J23" s="235" t="e">
        <f>F23/#REF!*100</f>
        <v>#REF!</v>
      </c>
      <c r="K23" s="221">
        <f t="shared" si="1"/>
        <v>27.599999999999966</v>
      </c>
      <c r="L23" s="221">
        <f t="shared" si="3"/>
        <v>110.99999999999999</v>
      </c>
      <c r="M23" s="178" t="e">
        <f>F23-#REF!</f>
        <v>#REF!</v>
      </c>
    </row>
    <row r="24" spans="1:13" ht="15.75">
      <c r="A24" s="246">
        <v>19040000</v>
      </c>
      <c r="B24" s="243" t="s">
        <v>41</v>
      </c>
      <c r="C24" s="208">
        <v>0.6</v>
      </c>
      <c r="D24" s="178">
        <v>0</v>
      </c>
      <c r="E24" s="179">
        <f>D24-'01.12'!E21</f>
        <v>0</v>
      </c>
      <c r="F24" s="178">
        <v>0.8</v>
      </c>
      <c r="G24" s="179">
        <v>0</v>
      </c>
      <c r="H24" s="235">
        <f t="shared" si="0"/>
        <v>133.33333333333334</v>
      </c>
      <c r="I24" s="235">
        <f t="shared" si="2"/>
        <v>0.8</v>
      </c>
      <c r="J24" s="235" t="e">
        <f>F24/#REF!*100</f>
        <v>#REF!</v>
      </c>
      <c r="K24" s="221">
        <f t="shared" si="1"/>
        <v>0.20000000000000007</v>
      </c>
      <c r="L24" s="221"/>
      <c r="M24" s="178" t="e">
        <f>F24-#REF!</f>
        <v>#REF!</v>
      </c>
    </row>
    <row r="25" spans="1:13" ht="47.25">
      <c r="A25" s="247" t="s">
        <v>26</v>
      </c>
      <c r="B25" s="45" t="s">
        <v>27</v>
      </c>
      <c r="C25" s="208">
        <v>1.9</v>
      </c>
      <c r="D25" s="178">
        <v>0</v>
      </c>
      <c r="E25" s="179">
        <f>D25-'01.12'!E22</f>
        <v>0</v>
      </c>
      <c r="F25" s="178">
        <v>0.3</v>
      </c>
      <c r="G25" s="179">
        <v>0</v>
      </c>
      <c r="H25" s="235">
        <f t="shared" si="0"/>
        <v>15.789473684210526</v>
      </c>
      <c r="I25" s="235">
        <f t="shared" si="2"/>
        <v>0.3</v>
      </c>
      <c r="J25" s="235" t="e">
        <f>F25/#REF!*100</f>
        <v>#REF!</v>
      </c>
      <c r="K25" s="221">
        <f t="shared" si="1"/>
        <v>-1.5999999999999999</v>
      </c>
      <c r="L25" s="221"/>
      <c r="M25" s="178" t="e">
        <f>F25-#REF!</f>
        <v>#REF!</v>
      </c>
    </row>
    <row r="26" spans="1:13" ht="15.75">
      <c r="A26" s="245" t="s">
        <v>24</v>
      </c>
      <c r="B26" s="248" t="s">
        <v>25</v>
      </c>
      <c r="C26" s="208">
        <v>39.5</v>
      </c>
      <c r="D26" s="178">
        <v>15</v>
      </c>
      <c r="E26" s="179">
        <f>D26-'01.12'!E23</f>
        <v>1.5</v>
      </c>
      <c r="F26" s="178">
        <v>21</v>
      </c>
      <c r="G26" s="179">
        <f>F26-'01.12'!G23</f>
        <v>2.6999999999999993</v>
      </c>
      <c r="H26" s="235">
        <f t="shared" si="0"/>
        <v>53.16455696202531</v>
      </c>
      <c r="I26" s="235">
        <f t="shared" si="2"/>
        <v>6</v>
      </c>
      <c r="J26" s="235" t="e">
        <f>F26/#REF!*100</f>
        <v>#REF!</v>
      </c>
      <c r="K26" s="221">
        <f t="shared" si="1"/>
        <v>-18.5</v>
      </c>
      <c r="L26" s="221">
        <f t="shared" si="3"/>
        <v>140</v>
      </c>
      <c r="M26" s="178" t="e">
        <f>F26-#REF!</f>
        <v>#REF!</v>
      </c>
    </row>
    <row r="27" spans="1:13" ht="53.25" customHeight="1">
      <c r="A27" s="245" t="s">
        <v>22</v>
      </c>
      <c r="B27" s="244" t="s">
        <v>23</v>
      </c>
      <c r="C27" s="208">
        <v>621.7</v>
      </c>
      <c r="D27" s="178">
        <v>545</v>
      </c>
      <c r="E27" s="179">
        <f>D27-'01.12'!E24</f>
        <v>-42.89999999999998</v>
      </c>
      <c r="F27" s="178">
        <v>624.3</v>
      </c>
      <c r="G27" s="179">
        <f>F27-'01.12'!G24</f>
        <v>48.799999999999955</v>
      </c>
      <c r="H27" s="235">
        <f t="shared" si="0"/>
        <v>100.41820813897377</v>
      </c>
      <c r="I27" s="235">
        <f t="shared" si="2"/>
        <v>79.29999999999995</v>
      </c>
      <c r="J27" s="235" t="e">
        <f>F27/#REF!*100</f>
        <v>#REF!</v>
      </c>
      <c r="K27" s="221">
        <f t="shared" si="1"/>
        <v>2.599999999999909</v>
      </c>
      <c r="L27" s="221">
        <f t="shared" si="3"/>
        <v>114.55045871559632</v>
      </c>
      <c r="M27" s="178" t="e">
        <f>F27-#REF!</f>
        <v>#REF!</v>
      </c>
    </row>
    <row r="28" spans="1:13" ht="31.5">
      <c r="A28" s="246" t="s">
        <v>223</v>
      </c>
      <c r="B28" s="242" t="s">
        <v>28</v>
      </c>
      <c r="C28" s="208">
        <v>191.2</v>
      </c>
      <c r="D28" s="178">
        <v>0</v>
      </c>
      <c r="E28" s="179">
        <f>D28-'01.12'!E25</f>
        <v>0</v>
      </c>
      <c r="F28" s="178">
        <v>53.9</v>
      </c>
      <c r="G28" s="179">
        <f>F28-'01.12'!G25</f>
        <v>17.5</v>
      </c>
      <c r="H28" s="235">
        <f t="shared" si="0"/>
        <v>28.190376569037657</v>
      </c>
      <c r="I28" s="235">
        <f t="shared" si="2"/>
        <v>53.9</v>
      </c>
      <c r="J28" s="235" t="e">
        <f>F28/#REF!*100</f>
        <v>#REF!</v>
      </c>
      <c r="K28" s="221">
        <f t="shared" si="1"/>
        <v>-137.29999999999998</v>
      </c>
      <c r="L28" s="221"/>
      <c r="M28" s="178" t="e">
        <f>F28-#REF!</f>
        <v>#REF!</v>
      </c>
    </row>
    <row r="29" spans="1:13" ht="15.75">
      <c r="A29" s="246">
        <v>24060600</v>
      </c>
      <c r="B29" s="243" t="s">
        <v>29</v>
      </c>
      <c r="C29" s="208"/>
      <c r="D29" s="178">
        <v>0</v>
      </c>
      <c r="E29" s="179">
        <f>D29-'01.12'!E26</f>
        <v>0</v>
      </c>
      <c r="F29" s="178">
        <v>0.1</v>
      </c>
      <c r="G29" s="179">
        <f>F29-'01.12'!G26</f>
        <v>0</v>
      </c>
      <c r="H29" s="235" t="e">
        <f t="shared" si="0"/>
        <v>#DIV/0!</v>
      </c>
      <c r="I29" s="235">
        <f t="shared" si="2"/>
        <v>0.1</v>
      </c>
      <c r="J29" s="235" t="e">
        <f>F29/#REF!*100</f>
        <v>#REF!</v>
      </c>
      <c r="K29" s="221">
        <f t="shared" si="1"/>
        <v>0.1</v>
      </c>
      <c r="L29" s="221"/>
      <c r="M29" s="178" t="e">
        <f>F29-#REF!</f>
        <v>#REF!</v>
      </c>
    </row>
    <row r="30" spans="1:13" ht="63">
      <c r="A30" s="246">
        <v>31010200</v>
      </c>
      <c r="B30" s="243" t="s">
        <v>30</v>
      </c>
      <c r="C30" s="208">
        <v>7.9</v>
      </c>
      <c r="D30" s="178">
        <v>0</v>
      </c>
      <c r="E30" s="179">
        <f>D30-'01.12'!E27</f>
        <v>0</v>
      </c>
      <c r="F30" s="178">
        <v>4</v>
      </c>
      <c r="G30" s="179">
        <f>F30-'01.12'!G27</f>
        <v>0</v>
      </c>
      <c r="H30" s="235">
        <f t="shared" si="0"/>
        <v>50.632911392405056</v>
      </c>
      <c r="I30" s="235">
        <f t="shared" si="2"/>
        <v>4</v>
      </c>
      <c r="J30" s="235" t="e">
        <f>F30/#REF!*100</f>
        <v>#REF!</v>
      </c>
      <c r="K30" s="221">
        <f t="shared" si="1"/>
        <v>-3.9000000000000004</v>
      </c>
      <c r="L30" s="221"/>
      <c r="M30" s="178" t="e">
        <f>F30-#REF!</f>
        <v>#REF!</v>
      </c>
    </row>
    <row r="31" spans="1:14" s="103" customFormat="1" ht="30" customHeight="1">
      <c r="A31" s="334" t="s">
        <v>31</v>
      </c>
      <c r="B31" s="334"/>
      <c r="C31" s="240">
        <f>C16+C17+C18+C19+C20+C24+C25+C26+C27+C28+C29+C30</f>
        <v>15617.000000000002</v>
      </c>
      <c r="D31" s="210">
        <f>SUM(D16:D30)-D20</f>
        <v>14688.7</v>
      </c>
      <c r="E31" s="210">
        <f>SUM(E16:E30)-E20</f>
        <v>1094.7</v>
      </c>
      <c r="F31" s="210">
        <f>SUM(F16:F30)-F20</f>
        <v>15684.799999999997</v>
      </c>
      <c r="G31" s="180">
        <f>SUM(G16:G30)-G20</f>
        <v>1275.800000000001</v>
      </c>
      <c r="H31" s="236">
        <f t="shared" si="0"/>
        <v>100.43414228084777</v>
      </c>
      <c r="I31" s="235">
        <f t="shared" si="2"/>
        <v>996.0999999999967</v>
      </c>
      <c r="J31" s="236" t="e">
        <f>F31/#REF!*100</f>
        <v>#REF!</v>
      </c>
      <c r="K31" s="237">
        <f t="shared" si="1"/>
        <v>67.79999999999563</v>
      </c>
      <c r="L31" s="221">
        <f t="shared" si="3"/>
        <v>106.78140339172286</v>
      </c>
      <c r="M31" s="180" t="e">
        <f>F31-#REF!</f>
        <v>#REF!</v>
      </c>
      <c r="N31" s="259"/>
    </row>
    <row r="32" spans="1:13" ht="25.5" customHeight="1">
      <c r="A32" s="335" t="s">
        <v>35</v>
      </c>
      <c r="B32" s="335"/>
      <c r="C32" s="210">
        <f>C15+C31</f>
        <v>98616.99999999999</v>
      </c>
      <c r="D32" s="210">
        <f>D15+D31</f>
        <v>116806.9</v>
      </c>
      <c r="E32" s="210">
        <f>E15+E31</f>
        <v>11143.599999999999</v>
      </c>
      <c r="F32" s="210">
        <f>F15+F31</f>
        <v>115476.20000000001</v>
      </c>
      <c r="G32" s="22">
        <f>G15+G31</f>
        <v>11642.199999999999</v>
      </c>
      <c r="H32" s="231">
        <f t="shared" si="0"/>
        <v>117.09563259884202</v>
      </c>
      <c r="I32" s="235">
        <f t="shared" si="2"/>
        <v>-1330.6999999999825</v>
      </c>
      <c r="J32" s="231" t="e">
        <f>F32/#REF!*100</f>
        <v>#REF!</v>
      </c>
      <c r="K32" s="232">
        <f t="shared" si="1"/>
        <v>16859.200000000026</v>
      </c>
      <c r="L32" s="221">
        <f t="shared" si="3"/>
        <v>98.86076935523502</v>
      </c>
      <c r="M32" s="22" t="e">
        <f>F32-#REF!</f>
        <v>#REF!</v>
      </c>
    </row>
    <row r="33" spans="1:13" ht="15.75">
      <c r="A33" s="249">
        <v>40000000</v>
      </c>
      <c r="B33" s="250" t="s">
        <v>225</v>
      </c>
      <c r="C33" s="210">
        <f>SUM(C34:C35)</f>
        <v>26176</v>
      </c>
      <c r="D33" s="210">
        <f>SUM(D34:D35)</f>
        <v>39236.2</v>
      </c>
      <c r="E33" s="210">
        <f>SUM(E34:E35)</f>
        <v>5523.8</v>
      </c>
      <c r="F33" s="210">
        <f>SUM(F34:F35)</f>
        <v>38551.5</v>
      </c>
      <c r="G33" s="180">
        <f>SUM(G34:G35)</f>
        <v>5080</v>
      </c>
      <c r="H33" s="236">
        <f t="shared" si="0"/>
        <v>147.27804095354523</v>
      </c>
      <c r="I33" s="235">
        <f t="shared" si="2"/>
        <v>-684.6999999999971</v>
      </c>
      <c r="J33" s="236" t="e">
        <f>F33/#REF!*100</f>
        <v>#REF!</v>
      </c>
      <c r="K33" s="237">
        <f t="shared" si="1"/>
        <v>12375.5</v>
      </c>
      <c r="L33" s="221">
        <f t="shared" si="3"/>
        <v>98.25492784724311</v>
      </c>
      <c r="M33" s="180" t="e">
        <f>F33-#REF!</f>
        <v>#REF!</v>
      </c>
    </row>
    <row r="34" spans="1:13" ht="15.75">
      <c r="A34" s="249">
        <v>41020000</v>
      </c>
      <c r="B34" s="250" t="s">
        <v>33</v>
      </c>
      <c r="C34" s="210">
        <f>779+858.7</f>
        <v>1637.7</v>
      </c>
      <c r="D34" s="210">
        <v>7699.2</v>
      </c>
      <c r="E34" s="210">
        <f>D34-'01.12'!E31</f>
        <v>2108.8</v>
      </c>
      <c r="F34" s="210">
        <v>7699.2</v>
      </c>
      <c r="G34" s="179">
        <f>F34-'01.12'!G31</f>
        <v>2109</v>
      </c>
      <c r="H34" s="235">
        <f t="shared" si="0"/>
        <v>470.1227331013006</v>
      </c>
      <c r="I34" s="235">
        <f t="shared" si="2"/>
        <v>0</v>
      </c>
      <c r="J34" s="235" t="e">
        <f>F34/#REF!*100</f>
        <v>#REF!</v>
      </c>
      <c r="K34" s="221">
        <f t="shared" si="1"/>
        <v>6061.5</v>
      </c>
      <c r="L34" s="221">
        <f t="shared" si="3"/>
        <v>100</v>
      </c>
      <c r="M34" s="178" t="e">
        <f>F34-#REF!</f>
        <v>#REF!</v>
      </c>
    </row>
    <row r="35" spans="1:13" ht="15.75">
      <c r="A35" s="249">
        <v>41030000</v>
      </c>
      <c r="B35" s="250" t="s">
        <v>34</v>
      </c>
      <c r="C35" s="210">
        <f>26176-1637.7</f>
        <v>24538.3</v>
      </c>
      <c r="D35" s="210">
        <v>31537</v>
      </c>
      <c r="E35" s="210">
        <f>D35-'01.12'!E32</f>
        <v>3415</v>
      </c>
      <c r="F35" s="210">
        <v>30852.3</v>
      </c>
      <c r="G35" s="179">
        <f>F35-'01.12'!G32</f>
        <v>2971</v>
      </c>
      <c r="H35" s="235">
        <f t="shared" si="0"/>
        <v>125.73120387312895</v>
      </c>
      <c r="I35" s="235">
        <f t="shared" si="2"/>
        <v>-684.7000000000007</v>
      </c>
      <c r="J35" s="235" t="e">
        <f>F35/#REF!*100</f>
        <v>#REF!</v>
      </c>
      <c r="K35" s="221">
        <f t="shared" si="1"/>
        <v>6314</v>
      </c>
      <c r="L35" s="221">
        <f t="shared" si="3"/>
        <v>97.82889938802042</v>
      </c>
      <c r="M35" s="178" t="e">
        <f>F35-#REF!</f>
        <v>#REF!</v>
      </c>
    </row>
    <row r="36" spans="1:13" ht="40.5" customHeight="1">
      <c r="A36" s="334" t="s">
        <v>50</v>
      </c>
      <c r="B36" s="334"/>
      <c r="C36" s="210">
        <f>C32+C33</f>
        <v>124792.99999999999</v>
      </c>
      <c r="D36" s="210">
        <f>D32+D33</f>
        <v>156043.09999999998</v>
      </c>
      <c r="E36" s="210">
        <f>E32+E33</f>
        <v>16667.399999999998</v>
      </c>
      <c r="F36" s="210">
        <f>F32+F33</f>
        <v>154027.7</v>
      </c>
      <c r="G36" s="23">
        <f>G32+G33</f>
        <v>16722.199999999997</v>
      </c>
      <c r="H36" s="233">
        <f t="shared" si="0"/>
        <v>123.42655437404343</v>
      </c>
      <c r="I36" s="235">
        <f t="shared" si="2"/>
        <v>-2015.399999999965</v>
      </c>
      <c r="J36" s="233" t="e">
        <f>F36/#REF!*100</f>
        <v>#REF!</v>
      </c>
      <c r="K36" s="234">
        <f t="shared" si="1"/>
        <v>29234.700000000026</v>
      </c>
      <c r="L36" s="221">
        <f t="shared" si="3"/>
        <v>98.70843375964719</v>
      </c>
      <c r="M36" s="23" t="e">
        <f>F36-#REF!</f>
        <v>#REF!</v>
      </c>
    </row>
    <row r="37" spans="1:13" ht="24" customHeight="1">
      <c r="A37" s="338" t="s">
        <v>217</v>
      </c>
      <c r="B37" s="338"/>
      <c r="C37" s="338"/>
      <c r="D37" s="338"/>
      <c r="E37" s="338"/>
      <c r="F37" s="338"/>
      <c r="G37" s="338"/>
      <c r="H37" s="338"/>
      <c r="I37" s="338"/>
      <c r="J37" s="338"/>
      <c r="K37" s="338"/>
      <c r="L37" s="338"/>
      <c r="M37" s="338"/>
    </row>
    <row r="38" spans="1:14" ht="27.75" customHeight="1">
      <c r="A38" s="334" t="s">
        <v>218</v>
      </c>
      <c r="B38" s="334"/>
      <c r="C38" s="210">
        <f>SUM(C39:C42)</f>
        <v>244.69999999999996</v>
      </c>
      <c r="D38" s="210">
        <f>SUM(D39:D42)</f>
        <v>152.70000000000002</v>
      </c>
      <c r="E38" s="210">
        <f>SUM(E39:E42)</f>
        <v>-275.59999999999997</v>
      </c>
      <c r="F38" s="210">
        <f>SUM(F39:F42)</f>
        <v>187.8</v>
      </c>
      <c r="G38" s="210">
        <f>SUM(G39:G42)</f>
        <v>6.199999999999999</v>
      </c>
      <c r="H38" s="209">
        <f aca="true" t="shared" si="4" ref="H38:H60">F38/C38*100</f>
        <v>76.74703718839397</v>
      </c>
      <c r="I38" s="209">
        <f>F38-D38</f>
        <v>35.099999999999994</v>
      </c>
      <c r="J38" s="209" t="e">
        <f>F38/#REF!*100</f>
        <v>#REF!</v>
      </c>
      <c r="K38" s="210">
        <f aca="true" t="shared" si="5" ref="K38:K60">F38-C38</f>
        <v>-56.89999999999995</v>
      </c>
      <c r="L38" s="210">
        <f>F38/D38*100</f>
        <v>122.9862475442043</v>
      </c>
      <c r="M38" s="208" t="e">
        <f>F38-#REF!</f>
        <v>#REF!</v>
      </c>
      <c r="N38" s="238"/>
    </row>
    <row r="39" spans="1:14" ht="33" customHeight="1">
      <c r="A39" s="246">
        <v>12020000</v>
      </c>
      <c r="B39" s="243" t="s">
        <v>38</v>
      </c>
      <c r="C39" s="208">
        <v>192.2</v>
      </c>
      <c r="D39" s="178">
        <v>59</v>
      </c>
      <c r="E39" s="179">
        <f>D39-'01.12'!E38</f>
        <v>30.7</v>
      </c>
      <c r="F39" s="178">
        <v>68</v>
      </c>
      <c r="G39" s="179">
        <v>0</v>
      </c>
      <c r="H39" s="200">
        <f t="shared" si="4"/>
        <v>35.379812695109266</v>
      </c>
      <c r="I39" s="209">
        <f aca="true" t="shared" si="6" ref="I39:I60">F39-D39</f>
        <v>9</v>
      </c>
      <c r="J39" s="200" t="e">
        <f>F39/#REF!*100</f>
        <v>#REF!</v>
      </c>
      <c r="K39" s="178">
        <f t="shared" si="5"/>
        <v>-124.19999999999999</v>
      </c>
      <c r="L39" s="210">
        <f aca="true" t="shared" si="7" ref="L39:L60">F39/D39*100</f>
        <v>115.2542372881356</v>
      </c>
      <c r="M39" s="178" t="e">
        <f>F39-#REF!</f>
        <v>#REF!</v>
      </c>
      <c r="N39" s="238"/>
    </row>
    <row r="40" spans="1:14" ht="15.75">
      <c r="A40" s="246">
        <v>12030000</v>
      </c>
      <c r="B40" s="243" t="s">
        <v>39</v>
      </c>
      <c r="C40" s="208">
        <v>26.7</v>
      </c>
      <c r="D40" s="178">
        <v>63.4</v>
      </c>
      <c r="E40" s="179">
        <f>D40-'01.12'!E39</f>
        <v>-136.6</v>
      </c>
      <c r="F40" s="178">
        <v>83.1</v>
      </c>
      <c r="G40" s="179">
        <v>4.3</v>
      </c>
      <c r="H40" s="200">
        <f t="shared" si="4"/>
        <v>311.23595505617976</v>
      </c>
      <c r="I40" s="209">
        <f t="shared" si="6"/>
        <v>19.699999999999996</v>
      </c>
      <c r="J40" s="200" t="e">
        <f>F40/#REF!*100</f>
        <v>#REF!</v>
      </c>
      <c r="K40" s="178">
        <f t="shared" si="5"/>
        <v>56.39999999999999</v>
      </c>
      <c r="L40" s="210">
        <f t="shared" si="7"/>
        <v>131.0725552050473</v>
      </c>
      <c r="M40" s="178" t="e">
        <f>F40-#REF!</f>
        <v>#REF!</v>
      </c>
      <c r="N40" s="238"/>
    </row>
    <row r="41" spans="1:14" ht="79.5" customHeight="1">
      <c r="A41" s="246">
        <v>18041500</v>
      </c>
      <c r="B41" s="243" t="s">
        <v>40</v>
      </c>
      <c r="C41" s="208">
        <v>25.6</v>
      </c>
      <c r="D41" s="178">
        <v>30.3</v>
      </c>
      <c r="E41" s="179">
        <f>D41-'01.12'!E40</f>
        <v>-169.7</v>
      </c>
      <c r="F41" s="178">
        <v>36.7</v>
      </c>
      <c r="G41" s="179">
        <v>1.9</v>
      </c>
      <c r="H41" s="200">
        <f t="shared" si="4"/>
        <v>143.359375</v>
      </c>
      <c r="I41" s="209">
        <f t="shared" si="6"/>
        <v>6.400000000000002</v>
      </c>
      <c r="J41" s="200" t="e">
        <f>F41/#REF!*100</f>
        <v>#REF!</v>
      </c>
      <c r="K41" s="178">
        <f t="shared" si="5"/>
        <v>11.100000000000001</v>
      </c>
      <c r="L41" s="210">
        <f t="shared" si="7"/>
        <v>121.12211221122114</v>
      </c>
      <c r="M41" s="178" t="e">
        <f>F41-#REF!</f>
        <v>#REF!</v>
      </c>
      <c r="N41" s="238"/>
    </row>
    <row r="42" spans="1:14" ht="36" customHeight="1">
      <c r="A42" s="251">
        <v>12020400</v>
      </c>
      <c r="B42" s="250" t="s">
        <v>58</v>
      </c>
      <c r="C42" s="210">
        <v>0.2</v>
      </c>
      <c r="D42" s="210">
        <v>0</v>
      </c>
      <c r="E42" s="210">
        <v>0</v>
      </c>
      <c r="F42" s="210">
        <v>0</v>
      </c>
      <c r="G42" s="180">
        <v>0</v>
      </c>
      <c r="H42" s="201">
        <f t="shared" si="4"/>
        <v>0</v>
      </c>
      <c r="I42" s="209">
        <f t="shared" si="6"/>
        <v>0</v>
      </c>
      <c r="J42" s="201" t="e">
        <f>F42/#REF!*100</f>
        <v>#REF!</v>
      </c>
      <c r="K42" s="180">
        <f t="shared" si="5"/>
        <v>-0.2</v>
      </c>
      <c r="L42" s="210"/>
      <c r="M42" s="180" t="e">
        <f>F42-#REF!</f>
        <v>#REF!</v>
      </c>
      <c r="N42" s="238"/>
    </row>
    <row r="43" spans="1:14" ht="33.75" customHeight="1">
      <c r="A43" s="334" t="s">
        <v>219</v>
      </c>
      <c r="B43" s="334"/>
      <c r="C43" s="210">
        <f>SUM(C44:C46)</f>
        <v>186.00000000000003</v>
      </c>
      <c r="D43" s="210">
        <f>SUM(D44:D46)</f>
        <v>125</v>
      </c>
      <c r="E43" s="210">
        <f>SUM(E44:E46)</f>
        <v>-4774.4</v>
      </c>
      <c r="F43" s="210">
        <f>SUM(F44:F46)</f>
        <v>200.5</v>
      </c>
      <c r="G43" s="180">
        <f>SUM(G44:G46)</f>
        <v>0</v>
      </c>
      <c r="H43" s="201">
        <f t="shared" si="4"/>
        <v>107.79569892473117</v>
      </c>
      <c r="I43" s="209">
        <f t="shared" si="6"/>
        <v>75.5</v>
      </c>
      <c r="J43" s="201" t="e">
        <f>F43/#REF!*100</f>
        <v>#REF!</v>
      </c>
      <c r="K43" s="180">
        <f t="shared" si="5"/>
        <v>14.499999999999972</v>
      </c>
      <c r="L43" s="210">
        <f t="shared" si="7"/>
        <v>160.4</v>
      </c>
      <c r="M43" s="180" t="e">
        <f>F43-#REF!</f>
        <v>#REF!</v>
      </c>
      <c r="N43" s="238"/>
    </row>
    <row r="44" spans="1:14" ht="18.75" customHeight="1">
      <c r="A44" s="246">
        <v>19010000</v>
      </c>
      <c r="B44" s="243" t="s">
        <v>42</v>
      </c>
      <c r="C44" s="208">
        <v>168.4</v>
      </c>
      <c r="D44" s="178">
        <v>125</v>
      </c>
      <c r="E44" s="179">
        <f>D44-'01.12'!E43</f>
        <v>-2324.7</v>
      </c>
      <c r="F44" s="178">
        <v>200.4</v>
      </c>
      <c r="G44" s="179">
        <v>0</v>
      </c>
      <c r="H44" s="200">
        <f t="shared" si="4"/>
        <v>119.0023752969121</v>
      </c>
      <c r="I44" s="209">
        <f t="shared" si="6"/>
        <v>75.4</v>
      </c>
      <c r="J44" s="200" t="e">
        <f>F44/#REF!*100</f>
        <v>#REF!</v>
      </c>
      <c r="K44" s="178">
        <f t="shared" si="5"/>
        <v>32</v>
      </c>
      <c r="L44" s="210">
        <f t="shared" si="7"/>
        <v>160.32</v>
      </c>
      <c r="M44" s="178" t="e">
        <f>F44-#REF!</f>
        <v>#REF!</v>
      </c>
      <c r="N44" s="238"/>
    </row>
    <row r="45" spans="1:14" ht="31.5">
      <c r="A45" s="246">
        <v>19050000</v>
      </c>
      <c r="B45" s="243" t="s">
        <v>43</v>
      </c>
      <c r="C45" s="208">
        <v>16.3</v>
      </c>
      <c r="D45" s="178">
        <v>0</v>
      </c>
      <c r="E45" s="179">
        <f>D45-'01.12'!E44</f>
        <v>-2449.7</v>
      </c>
      <c r="F45" s="178">
        <v>0.1</v>
      </c>
      <c r="G45" s="179">
        <v>0</v>
      </c>
      <c r="H45" s="200">
        <f t="shared" si="4"/>
        <v>0.6134969325153374</v>
      </c>
      <c r="I45" s="209">
        <f t="shared" si="6"/>
        <v>0.1</v>
      </c>
      <c r="J45" s="200" t="e">
        <f>F45/#REF!*100</f>
        <v>#REF!</v>
      </c>
      <c r="K45" s="178">
        <f t="shared" si="5"/>
        <v>-16.2</v>
      </c>
      <c r="L45" s="210"/>
      <c r="M45" s="178" t="e">
        <f>F45-#REF!</f>
        <v>#REF!</v>
      </c>
      <c r="N45" s="238"/>
    </row>
    <row r="46" spans="1:14" ht="63">
      <c r="A46" s="246">
        <v>24062100</v>
      </c>
      <c r="B46" s="243" t="s">
        <v>56</v>
      </c>
      <c r="C46" s="208">
        <v>1.3</v>
      </c>
      <c r="D46" s="178">
        <v>0</v>
      </c>
      <c r="E46" s="179">
        <f>D46-'01.12'!E45</f>
        <v>0</v>
      </c>
      <c r="F46" s="178">
        <v>0</v>
      </c>
      <c r="G46" s="179">
        <v>0</v>
      </c>
      <c r="H46" s="200">
        <f t="shared" si="4"/>
        <v>0</v>
      </c>
      <c r="I46" s="209">
        <f t="shared" si="6"/>
        <v>0</v>
      </c>
      <c r="J46" s="200" t="e">
        <f>F46/#REF!*100</f>
        <v>#REF!</v>
      </c>
      <c r="K46" s="178">
        <f t="shared" si="5"/>
        <v>-1.3</v>
      </c>
      <c r="L46" s="210"/>
      <c r="M46" s="178" t="e">
        <f>F46-#REF!</f>
        <v>#REF!</v>
      </c>
      <c r="N46" s="238"/>
    </row>
    <row r="47" spans="1:14" ht="33.75" customHeight="1">
      <c r="A47" s="334" t="s">
        <v>220</v>
      </c>
      <c r="B47" s="334"/>
      <c r="C47" s="210">
        <f>SUM(C48:C50)</f>
        <v>1994.5</v>
      </c>
      <c r="D47" s="210">
        <f>SUM(D48:D50)</f>
        <v>2622.7</v>
      </c>
      <c r="E47" s="210">
        <f>SUM(E48:E50)</f>
        <v>2622.7</v>
      </c>
      <c r="F47" s="210">
        <f>SUM(F48:F50)</f>
        <v>3296.2000000000003</v>
      </c>
      <c r="G47" s="180">
        <f>SUM(G48:G50)</f>
        <v>214.2</v>
      </c>
      <c r="H47" s="201">
        <f t="shared" si="4"/>
        <v>165.2644773126097</v>
      </c>
      <c r="I47" s="209">
        <f t="shared" si="6"/>
        <v>673.5000000000005</v>
      </c>
      <c r="J47" s="201" t="e">
        <f>F47/#REF!*100</f>
        <v>#REF!</v>
      </c>
      <c r="K47" s="180">
        <f t="shared" si="5"/>
        <v>1301.7000000000003</v>
      </c>
      <c r="L47" s="210">
        <f t="shared" si="7"/>
        <v>125.67964311587299</v>
      </c>
      <c r="M47" s="180" t="e">
        <f>F47-#REF!</f>
        <v>#REF!</v>
      </c>
      <c r="N47" s="238"/>
    </row>
    <row r="48" spans="1:14" ht="15.75">
      <c r="A48" s="246">
        <v>18050000</v>
      </c>
      <c r="B48" s="243" t="s">
        <v>44</v>
      </c>
      <c r="C48" s="208">
        <v>1956</v>
      </c>
      <c r="D48" s="178">
        <v>2622.7</v>
      </c>
      <c r="E48" s="179">
        <f>D48-'01.12'!E47</f>
        <v>2622.7</v>
      </c>
      <c r="F48" s="178">
        <v>3238.3</v>
      </c>
      <c r="G48" s="179">
        <v>202.1</v>
      </c>
      <c r="H48" s="209">
        <f t="shared" si="4"/>
        <v>165.55725971370143</v>
      </c>
      <c r="I48" s="209">
        <f t="shared" si="6"/>
        <v>615.6000000000004</v>
      </c>
      <c r="J48" s="209" t="e">
        <f>F48/#REF!*100</f>
        <v>#REF!</v>
      </c>
      <c r="K48" s="210">
        <f t="shared" si="5"/>
        <v>1282.3000000000002</v>
      </c>
      <c r="L48" s="210">
        <f t="shared" si="7"/>
        <v>123.471994509475</v>
      </c>
      <c r="M48" s="210" t="e">
        <f>F48-#REF!</f>
        <v>#REF!</v>
      </c>
      <c r="N48" s="238"/>
    </row>
    <row r="49" spans="1:14" ht="31.5">
      <c r="A49" s="246" t="s">
        <v>208</v>
      </c>
      <c r="B49" s="243" t="s">
        <v>196</v>
      </c>
      <c r="C49" s="208">
        <v>0</v>
      </c>
      <c r="D49" s="178">
        <v>0</v>
      </c>
      <c r="E49" s="179">
        <v>0</v>
      </c>
      <c r="F49" s="178">
        <v>57.8</v>
      </c>
      <c r="G49" s="179">
        <v>12.1</v>
      </c>
      <c r="H49" s="209" t="e">
        <f t="shared" si="4"/>
        <v>#DIV/0!</v>
      </c>
      <c r="I49" s="209">
        <f t="shared" si="6"/>
        <v>57.8</v>
      </c>
      <c r="J49" s="209" t="e">
        <f>F49/#REF!*100</f>
        <v>#REF!</v>
      </c>
      <c r="K49" s="210">
        <f t="shared" si="5"/>
        <v>57.8</v>
      </c>
      <c r="L49" s="210"/>
      <c r="M49" s="210" t="e">
        <f>F49-#REF!</f>
        <v>#REF!</v>
      </c>
      <c r="N49" s="238"/>
    </row>
    <row r="50" spans="1:14" ht="31.5">
      <c r="A50" s="252" t="s">
        <v>209</v>
      </c>
      <c r="B50" s="243" t="s">
        <v>45</v>
      </c>
      <c r="C50" s="208">
        <v>38.5</v>
      </c>
      <c r="D50" s="178">
        <v>0</v>
      </c>
      <c r="E50" s="179">
        <v>0</v>
      </c>
      <c r="F50" s="178">
        <v>0.1</v>
      </c>
      <c r="G50" s="179">
        <v>0</v>
      </c>
      <c r="H50" s="209">
        <f t="shared" si="4"/>
        <v>0.2597402597402597</v>
      </c>
      <c r="I50" s="209">
        <f t="shared" si="6"/>
        <v>0.1</v>
      </c>
      <c r="J50" s="209" t="e">
        <f>F50/#REF!*100</f>
        <v>#REF!</v>
      </c>
      <c r="K50" s="210">
        <f t="shared" si="5"/>
        <v>-38.4</v>
      </c>
      <c r="L50" s="210"/>
      <c r="M50" s="210" t="e">
        <f>F50-#REF!</f>
        <v>#REF!</v>
      </c>
      <c r="N50" s="238"/>
    </row>
    <row r="51" spans="1:14" ht="17.25" customHeight="1">
      <c r="A51" s="335" t="s">
        <v>47</v>
      </c>
      <c r="B51" s="335"/>
      <c r="C51" s="210">
        <v>79.5</v>
      </c>
      <c r="D51" s="210">
        <v>354.5</v>
      </c>
      <c r="E51" s="210">
        <f>D51-'01.12'!E50</f>
        <v>-6327.291666666666</v>
      </c>
      <c r="F51" s="210">
        <v>402.7</v>
      </c>
      <c r="G51" s="180">
        <v>1.6</v>
      </c>
      <c r="H51" s="201">
        <f t="shared" si="4"/>
        <v>506.54088050314465</v>
      </c>
      <c r="I51" s="209">
        <f t="shared" si="6"/>
        <v>48.19999999999999</v>
      </c>
      <c r="J51" s="201" t="e">
        <f>F51/#REF!*100</f>
        <v>#REF!</v>
      </c>
      <c r="K51" s="180">
        <f t="shared" si="5"/>
        <v>323.2</v>
      </c>
      <c r="L51" s="210">
        <f t="shared" si="7"/>
        <v>113.59661495063469</v>
      </c>
      <c r="M51" s="180" t="e">
        <f>F51-#REF!</f>
        <v>#REF!</v>
      </c>
      <c r="N51" s="238"/>
    </row>
    <row r="52" spans="1:14" ht="22.5" customHeight="1">
      <c r="A52" s="241" t="s">
        <v>51</v>
      </c>
      <c r="B52" s="241"/>
      <c r="C52" s="210">
        <v>4037.6</v>
      </c>
      <c r="D52" s="210">
        <v>4584.2</v>
      </c>
      <c r="E52" s="210"/>
      <c r="F52" s="210">
        <v>4487.6</v>
      </c>
      <c r="G52" s="180"/>
      <c r="H52" s="201">
        <f t="shared" si="4"/>
        <v>111.14523479294631</v>
      </c>
      <c r="I52" s="209">
        <f t="shared" si="6"/>
        <v>-96.59999999999945</v>
      </c>
      <c r="J52" s="201" t="e">
        <f>F52/#REF!*100</f>
        <v>#REF!</v>
      </c>
      <c r="K52" s="180">
        <f t="shared" si="5"/>
        <v>450.00000000000045</v>
      </c>
      <c r="L52" s="210">
        <f t="shared" si="7"/>
        <v>97.8927620958946</v>
      </c>
      <c r="M52" s="180" t="e">
        <f>F52-#REF!</f>
        <v>#REF!</v>
      </c>
      <c r="N52" s="238"/>
    </row>
    <row r="53" spans="1:14" ht="24.75" customHeight="1">
      <c r="A53" s="241" t="s">
        <v>48</v>
      </c>
      <c r="B53" s="241"/>
      <c r="C53" s="210">
        <f>C38+C43+C47+C51+C52</f>
        <v>6542.299999999999</v>
      </c>
      <c r="D53" s="210">
        <f>D38+D43+D47+D51+D52</f>
        <v>7839.099999999999</v>
      </c>
      <c r="E53" s="210">
        <f>E38+E43+E47+E51+E52</f>
        <v>-8754.591666666667</v>
      </c>
      <c r="F53" s="210">
        <f>F38+F43+F47+F51+F52</f>
        <v>8574.800000000001</v>
      </c>
      <c r="G53" s="22">
        <f>G38+G43+G47+G51+G52</f>
        <v>221.99999999999997</v>
      </c>
      <c r="H53" s="25">
        <f t="shared" si="4"/>
        <v>131.06705592834328</v>
      </c>
      <c r="I53" s="209">
        <f t="shared" si="6"/>
        <v>735.7000000000016</v>
      </c>
      <c r="J53" s="25" t="e">
        <f>F53/#REF!*100</f>
        <v>#REF!</v>
      </c>
      <c r="K53" s="22">
        <f t="shared" si="5"/>
        <v>2032.5000000000018</v>
      </c>
      <c r="L53" s="210">
        <f t="shared" si="7"/>
        <v>109.38500593180342</v>
      </c>
      <c r="M53" s="22" t="e">
        <f>F53-#REF!</f>
        <v>#REF!</v>
      </c>
      <c r="N53" s="238"/>
    </row>
    <row r="54" spans="1:14" ht="28.5" customHeight="1">
      <c r="A54" s="249">
        <v>40000000</v>
      </c>
      <c r="B54" s="250" t="s">
        <v>211</v>
      </c>
      <c r="C54" s="210">
        <f>SUM(C55:C57)</f>
        <v>4135.9</v>
      </c>
      <c r="D54" s="210">
        <f>SUM(D55:D58)</f>
        <v>21324.1</v>
      </c>
      <c r="E54" s="210">
        <f>SUM(E55:E58)</f>
        <v>15052.9</v>
      </c>
      <c r="F54" s="210">
        <f>SUM(F55:F58)</f>
        <v>6122.4</v>
      </c>
      <c r="G54" s="180">
        <f>SUM(G55:G58)</f>
        <v>507.5</v>
      </c>
      <c r="H54" s="201">
        <f>F54/C54*100</f>
        <v>148.03065838148893</v>
      </c>
      <c r="I54" s="209">
        <f t="shared" si="6"/>
        <v>-15201.699999999999</v>
      </c>
      <c r="J54" s="201" t="e">
        <f>F54/#REF!*100</f>
        <v>#REF!</v>
      </c>
      <c r="K54" s="180">
        <f t="shared" si="5"/>
        <v>1986.5</v>
      </c>
      <c r="L54" s="210">
        <f t="shared" si="7"/>
        <v>28.71117655610319</v>
      </c>
      <c r="M54" s="180" t="e">
        <f>F54-#REF!</f>
        <v>#REF!</v>
      </c>
      <c r="N54" s="238"/>
    </row>
    <row r="55" spans="1:14" ht="63">
      <c r="A55" s="252" t="s">
        <v>206</v>
      </c>
      <c r="B55" s="243" t="s">
        <v>233</v>
      </c>
      <c r="C55" s="208">
        <v>0</v>
      </c>
      <c r="D55" s="210">
        <v>1136.1</v>
      </c>
      <c r="E55" s="179"/>
      <c r="F55" s="178">
        <v>1136.1</v>
      </c>
      <c r="G55" s="179">
        <v>103.8</v>
      </c>
      <c r="H55" s="239" t="e">
        <f t="shared" si="4"/>
        <v>#DIV/0!</v>
      </c>
      <c r="I55" s="209">
        <f t="shared" si="6"/>
        <v>0</v>
      </c>
      <c r="J55" s="239" t="e">
        <f>F55/#REF!*100</f>
        <v>#REF!</v>
      </c>
      <c r="K55" s="240">
        <f t="shared" si="5"/>
        <v>1136.1</v>
      </c>
      <c r="L55" s="210">
        <f t="shared" si="7"/>
        <v>100</v>
      </c>
      <c r="M55" s="210" t="e">
        <f>F55-#REF!</f>
        <v>#REF!</v>
      </c>
      <c r="N55" s="238"/>
    </row>
    <row r="56" spans="1:14" ht="15.75">
      <c r="A56" s="252" t="s">
        <v>207</v>
      </c>
      <c r="B56" s="243" t="s">
        <v>163</v>
      </c>
      <c r="C56" s="208">
        <v>0</v>
      </c>
      <c r="D56" s="210">
        <v>505.3</v>
      </c>
      <c r="E56" s="179"/>
      <c r="F56" s="178">
        <v>356.5</v>
      </c>
      <c r="G56" s="179">
        <v>-50.5</v>
      </c>
      <c r="H56" s="239" t="e">
        <f t="shared" si="4"/>
        <v>#DIV/0!</v>
      </c>
      <c r="I56" s="209">
        <f t="shared" si="6"/>
        <v>-148.8</v>
      </c>
      <c r="J56" s="239" t="e">
        <f>F56/#REF!*100</f>
        <v>#REF!</v>
      </c>
      <c r="K56" s="240">
        <f t="shared" si="5"/>
        <v>356.5</v>
      </c>
      <c r="L56" s="210">
        <f t="shared" si="7"/>
        <v>70.5521472392638</v>
      </c>
      <c r="M56" s="210"/>
      <c r="N56" s="238"/>
    </row>
    <row r="57" spans="1:14" ht="66" customHeight="1">
      <c r="A57" s="252">
        <v>41035101</v>
      </c>
      <c r="B57" s="243" t="s">
        <v>49</v>
      </c>
      <c r="C57" s="208">
        <v>4135.9</v>
      </c>
      <c r="D57" s="210">
        <v>4629.8</v>
      </c>
      <c r="E57" s="179"/>
      <c r="F57" s="178">
        <v>4629.8</v>
      </c>
      <c r="G57" s="179">
        <v>454.2</v>
      </c>
      <c r="H57" s="239">
        <f t="shared" si="4"/>
        <v>111.94177808941224</v>
      </c>
      <c r="I57" s="209">
        <f t="shared" si="6"/>
        <v>0</v>
      </c>
      <c r="J57" s="239" t="e">
        <f>F57/#REF!*100</f>
        <v>#REF!</v>
      </c>
      <c r="K57" s="240">
        <f t="shared" si="5"/>
        <v>493.90000000000055</v>
      </c>
      <c r="L57" s="210">
        <f t="shared" si="7"/>
        <v>100</v>
      </c>
      <c r="M57" s="210" t="e">
        <f>F57-#REF!</f>
        <v>#REF!</v>
      </c>
      <c r="N57" s="238"/>
    </row>
    <row r="58" spans="1:14" ht="177.75" customHeight="1">
      <c r="A58" s="252">
        <v>41036601</v>
      </c>
      <c r="B58" s="243" t="s">
        <v>210</v>
      </c>
      <c r="C58" s="208">
        <v>0</v>
      </c>
      <c r="D58" s="210">
        <v>15052.9</v>
      </c>
      <c r="E58" s="179">
        <f>D58</f>
        <v>15052.9</v>
      </c>
      <c r="F58" s="178">
        <v>0</v>
      </c>
      <c r="G58" s="179">
        <v>0</v>
      </c>
      <c r="H58" s="239" t="e">
        <f t="shared" si="4"/>
        <v>#DIV/0!</v>
      </c>
      <c r="I58" s="209">
        <f t="shared" si="6"/>
        <v>-15052.9</v>
      </c>
      <c r="J58" s="239"/>
      <c r="K58" s="240">
        <f t="shared" si="5"/>
        <v>0</v>
      </c>
      <c r="L58" s="210">
        <f t="shared" si="7"/>
        <v>0</v>
      </c>
      <c r="M58" s="210"/>
      <c r="N58" s="238"/>
    </row>
    <row r="59" spans="1:14" ht="39.75" customHeight="1">
      <c r="A59" s="336" t="s">
        <v>52</v>
      </c>
      <c r="B59" s="336"/>
      <c r="C59" s="210">
        <f>C53+C54</f>
        <v>10678.199999999999</v>
      </c>
      <c r="D59" s="210">
        <f>D53+D54</f>
        <v>29163.199999999997</v>
      </c>
      <c r="E59" s="210">
        <f>E53+E54</f>
        <v>6298.3083333333325</v>
      </c>
      <c r="F59" s="210">
        <f>F53+F54</f>
        <v>14697.2</v>
      </c>
      <c r="G59" s="23">
        <f>G53+G54</f>
        <v>729.5</v>
      </c>
      <c r="H59" s="26">
        <f t="shared" si="4"/>
        <v>137.63742952932142</v>
      </c>
      <c r="I59" s="209">
        <f t="shared" si="6"/>
        <v>-14465.999999999996</v>
      </c>
      <c r="J59" s="26" t="e">
        <f>F59/#REF!*100</f>
        <v>#REF!</v>
      </c>
      <c r="K59" s="23">
        <f t="shared" si="5"/>
        <v>4019.000000000002</v>
      </c>
      <c r="L59" s="210">
        <f t="shared" si="7"/>
        <v>50.396389970922264</v>
      </c>
      <c r="M59" s="23" t="e">
        <f>F59-#REF!</f>
        <v>#REF!</v>
      </c>
      <c r="N59" s="238"/>
    </row>
    <row r="60" spans="1:13" ht="40.5" customHeight="1">
      <c r="A60" s="332" t="s">
        <v>224</v>
      </c>
      <c r="B60" s="333"/>
      <c r="C60" s="210">
        <f>C36+C59</f>
        <v>135471.19999999998</v>
      </c>
      <c r="D60" s="210">
        <f>D36+D59</f>
        <v>185206.3</v>
      </c>
      <c r="E60" s="210">
        <f>E36+E59</f>
        <v>22965.70833333333</v>
      </c>
      <c r="F60" s="210">
        <f>F36+F59</f>
        <v>168724.90000000002</v>
      </c>
      <c r="G60" s="214">
        <f>G36+G59</f>
        <v>17451.699999999997</v>
      </c>
      <c r="H60" s="215">
        <f t="shared" si="4"/>
        <v>124.5466933193181</v>
      </c>
      <c r="I60" s="209">
        <f t="shared" si="6"/>
        <v>-16481.399999999965</v>
      </c>
      <c r="J60" s="215" t="e">
        <f>F60/#REF!*100</f>
        <v>#REF!</v>
      </c>
      <c r="K60" s="214">
        <f t="shared" si="5"/>
        <v>33253.70000000004</v>
      </c>
      <c r="L60" s="210">
        <f t="shared" si="7"/>
        <v>91.10105865729192</v>
      </c>
      <c r="M60" s="214" t="e">
        <f>F60-#REF!</f>
        <v>#REF!</v>
      </c>
    </row>
    <row r="61" spans="2:7" ht="12.75">
      <c r="B61" s="6"/>
      <c r="C61" s="24"/>
      <c r="D61" s="24"/>
      <c r="E61" s="24"/>
      <c r="F61" s="24"/>
      <c r="G61" s="24"/>
    </row>
    <row r="62" ht="18.75">
      <c r="A62" s="268" t="s">
        <v>229</v>
      </c>
    </row>
    <row r="63" spans="1:12" ht="18.75">
      <c r="A63" s="268" t="s">
        <v>230</v>
      </c>
      <c r="L63" s="268" t="s">
        <v>231</v>
      </c>
    </row>
  </sheetData>
  <mergeCells count="21">
    <mergeCell ref="A31:B31"/>
    <mergeCell ref="A11:M11"/>
    <mergeCell ref="A15:B15"/>
    <mergeCell ref="A37:M37"/>
    <mergeCell ref="A38:B38"/>
    <mergeCell ref="A32:B32"/>
    <mergeCell ref="A36:B36"/>
    <mergeCell ref="A60:B60"/>
    <mergeCell ref="A43:B43"/>
    <mergeCell ref="A47:B47"/>
    <mergeCell ref="A51:B51"/>
    <mergeCell ref="A59:B59"/>
    <mergeCell ref="K1:M1"/>
    <mergeCell ref="A5:M5"/>
    <mergeCell ref="A7:A9"/>
    <mergeCell ref="B7:B9"/>
    <mergeCell ref="C7:C9"/>
    <mergeCell ref="D7:E9"/>
    <mergeCell ref="F7:G9"/>
    <mergeCell ref="I7:I9"/>
    <mergeCell ref="K7:M9"/>
  </mergeCells>
  <printOptions/>
  <pageMargins left="1.23" right="0.16" top="0.42" bottom="0.37" header="0.44" footer="0.39"/>
  <pageSetup fitToHeight="6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workbookViewId="0" topLeftCell="A16">
      <selection activeCell="A74" sqref="A74:A76"/>
    </sheetView>
  </sheetViews>
  <sheetFormatPr defaultColWidth="9.00390625" defaultRowHeight="12.75"/>
  <cols>
    <col min="1" max="1" width="11.875" style="29" customWidth="1"/>
    <col min="2" max="2" width="37.00390625" style="30" customWidth="1"/>
    <col min="3" max="3" width="11.00390625" style="30" hidden="1" customWidth="1"/>
    <col min="4" max="4" width="14.75390625" style="30" hidden="1" customWidth="1"/>
    <col min="5" max="5" width="13.75390625" style="30" customWidth="1"/>
    <col min="6" max="6" width="11.25390625" style="30" hidden="1" customWidth="1"/>
    <col min="7" max="7" width="16.125" style="30" customWidth="1"/>
    <col min="8" max="8" width="8.00390625" style="30" hidden="1" customWidth="1"/>
    <col min="9" max="9" width="15.375" style="30" customWidth="1"/>
    <col min="10" max="10" width="8.25390625" style="30" hidden="1" customWidth="1"/>
    <col min="11" max="11" width="13.125" style="30" customWidth="1"/>
    <col min="12" max="12" width="14.125" style="30" customWidth="1"/>
    <col min="13" max="13" width="0.12890625" style="30" hidden="1" customWidth="1"/>
    <col min="14" max="14" width="9.125" style="30" hidden="1" customWidth="1"/>
    <col min="15" max="15" width="13.125" style="30" customWidth="1"/>
    <col min="16" max="16" width="11.125" style="30" customWidth="1"/>
    <col min="17" max="18" width="9.125" style="30" customWidth="1"/>
    <col min="19" max="19" width="10.125" style="30" bestFit="1" customWidth="1"/>
    <col min="20" max="16384" width="9.125" style="30" customWidth="1"/>
  </cols>
  <sheetData>
    <row r="1" ht="15.75">
      <c r="P1" s="30" t="s">
        <v>54</v>
      </c>
    </row>
    <row r="2" spans="1:16" ht="19.5" customHeight="1">
      <c r="A2" s="282" t="s">
        <v>115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</row>
    <row r="3" spans="2:12" ht="14.25" customHeight="1">
      <c r="B3" s="31"/>
      <c r="C3" s="34"/>
      <c r="D3" s="34"/>
      <c r="E3" s="32"/>
      <c r="F3" s="32"/>
      <c r="G3" s="35"/>
      <c r="H3" s="32"/>
      <c r="I3" s="33"/>
      <c r="J3" s="33"/>
      <c r="K3" s="33"/>
      <c r="L3" s="33"/>
    </row>
    <row r="4" spans="1:16" s="38" customFormat="1" ht="35.25" customHeight="1">
      <c r="A4" s="291" t="s">
        <v>61</v>
      </c>
      <c r="B4" s="293" t="s">
        <v>62</v>
      </c>
      <c r="C4" s="262" t="s">
        <v>63</v>
      </c>
      <c r="D4" s="263"/>
      <c r="E4" s="289" t="s">
        <v>143</v>
      </c>
      <c r="F4" s="289" t="s">
        <v>64</v>
      </c>
      <c r="G4" s="283" t="s">
        <v>144</v>
      </c>
      <c r="H4" s="284"/>
      <c r="I4" s="283" t="s">
        <v>116</v>
      </c>
      <c r="J4" s="284"/>
      <c r="K4" s="272" t="s">
        <v>132</v>
      </c>
      <c r="L4" s="273"/>
      <c r="M4" s="37"/>
      <c r="N4" s="37"/>
      <c r="O4" s="269" t="s">
        <v>133</v>
      </c>
      <c r="P4" s="269"/>
    </row>
    <row r="5" spans="1:16" s="38" customFormat="1" ht="67.5" customHeight="1">
      <c r="A5" s="292"/>
      <c r="B5" s="294"/>
      <c r="C5" s="40" t="s">
        <v>65</v>
      </c>
      <c r="D5" s="40" t="s">
        <v>66</v>
      </c>
      <c r="E5" s="264"/>
      <c r="F5" s="290"/>
      <c r="G5" s="285"/>
      <c r="H5" s="286"/>
      <c r="I5" s="285"/>
      <c r="J5" s="286"/>
      <c r="K5" s="36" t="s">
        <v>4</v>
      </c>
      <c r="L5" s="36" t="s">
        <v>117</v>
      </c>
      <c r="M5" s="36" t="s">
        <v>67</v>
      </c>
      <c r="N5" s="36" t="s">
        <v>68</v>
      </c>
      <c r="O5" s="36" t="s">
        <v>4</v>
      </c>
      <c r="P5" s="36" t="s">
        <v>117</v>
      </c>
    </row>
    <row r="6" spans="1:16" ht="16.5" customHeight="1">
      <c r="A6" s="39">
        <v>1</v>
      </c>
      <c r="B6" s="1">
        <v>2</v>
      </c>
      <c r="C6" s="1">
        <v>3</v>
      </c>
      <c r="D6" s="1">
        <v>4</v>
      </c>
      <c r="E6" s="2">
        <v>3</v>
      </c>
      <c r="F6" s="2">
        <v>4</v>
      </c>
      <c r="G6" s="1">
        <v>4</v>
      </c>
      <c r="H6" s="1">
        <v>6</v>
      </c>
      <c r="I6" s="2">
        <v>5</v>
      </c>
      <c r="J6" s="3">
        <v>8</v>
      </c>
      <c r="K6" s="2">
        <v>6</v>
      </c>
      <c r="L6" s="2">
        <v>7</v>
      </c>
      <c r="O6" s="2">
        <v>8</v>
      </c>
      <c r="P6" s="2">
        <v>9</v>
      </c>
    </row>
    <row r="7" spans="1:16" ht="30" customHeight="1">
      <c r="A7" s="270" t="s">
        <v>69</v>
      </c>
      <c r="B7" s="271"/>
      <c r="C7" s="42"/>
      <c r="D7" s="42"/>
      <c r="E7" s="104">
        <f aca="true" t="shared" si="0" ref="E7:J7">SUM(E8:E10)</f>
        <v>5619.7</v>
      </c>
      <c r="F7" s="104">
        <f t="shared" si="0"/>
        <v>0</v>
      </c>
      <c r="G7" s="104">
        <f t="shared" si="0"/>
        <v>7861.7</v>
      </c>
      <c r="H7" s="104">
        <f t="shared" si="0"/>
        <v>0</v>
      </c>
      <c r="I7" s="104">
        <f t="shared" si="0"/>
        <v>7900.2</v>
      </c>
      <c r="J7" s="104">
        <f t="shared" si="0"/>
        <v>7033.3</v>
      </c>
      <c r="K7" s="122">
        <f aca="true" t="shared" si="1" ref="K7:K39">I7/E7*100</f>
        <v>140.5804580315675</v>
      </c>
      <c r="L7" s="122">
        <f aca="true" t="shared" si="2" ref="L7:L39">I7/G7*100</f>
        <v>100.48971596474045</v>
      </c>
      <c r="M7" s="123"/>
      <c r="N7" s="123"/>
      <c r="O7" s="124">
        <f aca="true" t="shared" si="3" ref="O7:O39">I7-E7</f>
        <v>2280.5</v>
      </c>
      <c r="P7" s="124">
        <f aca="true" t="shared" si="4" ref="P7:P39">I7-G7</f>
        <v>38.5</v>
      </c>
    </row>
    <row r="8" spans="1:16" ht="68.25" customHeight="1">
      <c r="A8" s="44" t="s">
        <v>119</v>
      </c>
      <c r="B8" s="145" t="s">
        <v>128</v>
      </c>
      <c r="C8" s="46"/>
      <c r="D8" s="46"/>
      <c r="E8" s="105">
        <v>5617.6</v>
      </c>
      <c r="F8" s="105"/>
      <c r="G8" s="105">
        <v>7859.7</v>
      </c>
      <c r="H8" s="121"/>
      <c r="I8" s="105">
        <v>7896.8</v>
      </c>
      <c r="J8" s="121">
        <v>6996.6</v>
      </c>
      <c r="K8" s="125">
        <f t="shared" si="1"/>
        <v>140.57248647109083</v>
      </c>
      <c r="L8" s="125">
        <f t="shared" si="2"/>
        <v>100.47202819446035</v>
      </c>
      <c r="M8" s="126"/>
      <c r="N8" s="126"/>
      <c r="O8" s="127">
        <f t="shared" si="3"/>
        <v>2279.2</v>
      </c>
      <c r="P8" s="127">
        <f t="shared" si="4"/>
        <v>37.100000000000364</v>
      </c>
    </row>
    <row r="9" spans="1:16" ht="49.5" customHeight="1">
      <c r="A9" s="44" t="s">
        <v>120</v>
      </c>
      <c r="B9" s="145" t="s">
        <v>10</v>
      </c>
      <c r="C9" s="46"/>
      <c r="D9" s="46"/>
      <c r="E9" s="105">
        <v>1.4</v>
      </c>
      <c r="F9" s="105"/>
      <c r="G9" s="105">
        <v>1.3</v>
      </c>
      <c r="H9" s="121"/>
      <c r="I9" s="105">
        <v>0.7</v>
      </c>
      <c r="J9" s="121">
        <v>1</v>
      </c>
      <c r="K9" s="125">
        <f t="shared" si="1"/>
        <v>50</v>
      </c>
      <c r="L9" s="125">
        <f t="shared" si="2"/>
        <v>53.84615384615385</v>
      </c>
      <c r="M9" s="126"/>
      <c r="N9" s="126"/>
      <c r="O9" s="127">
        <f t="shared" si="3"/>
        <v>-0.7</v>
      </c>
      <c r="P9" s="127">
        <f t="shared" si="4"/>
        <v>-0.6000000000000001</v>
      </c>
    </row>
    <row r="10" spans="1:16" ht="21.75" customHeight="1">
      <c r="A10" s="44" t="s">
        <v>121</v>
      </c>
      <c r="B10" s="146" t="s">
        <v>11</v>
      </c>
      <c r="C10" s="46"/>
      <c r="D10" s="50"/>
      <c r="E10" s="105">
        <v>0.7</v>
      </c>
      <c r="F10" s="106"/>
      <c r="G10" s="106">
        <v>0.7</v>
      </c>
      <c r="H10" s="121"/>
      <c r="I10" s="105">
        <v>2.7</v>
      </c>
      <c r="J10" s="121">
        <v>35.7</v>
      </c>
      <c r="K10" s="125">
        <f t="shared" si="1"/>
        <v>385.7142857142858</v>
      </c>
      <c r="L10" s="125">
        <f t="shared" si="2"/>
        <v>385.7142857142858</v>
      </c>
      <c r="M10" s="126"/>
      <c r="N10" s="126"/>
      <c r="O10" s="127">
        <f t="shared" si="3"/>
        <v>2</v>
      </c>
      <c r="P10" s="127">
        <f t="shared" si="4"/>
        <v>2</v>
      </c>
    </row>
    <row r="11" spans="1:16" ht="31.5" customHeight="1">
      <c r="A11" s="270" t="s">
        <v>131</v>
      </c>
      <c r="B11" s="271"/>
      <c r="C11" s="52"/>
      <c r="D11" s="52"/>
      <c r="E11" s="107">
        <f>E12+E13+E15+E20+E21+E22+E23+E14+E24</f>
        <v>829.9000000000001</v>
      </c>
      <c r="F11" s="107">
        <f>F12+F13+F15+F20+F21+F22+F23+F14+F24</f>
        <v>0</v>
      </c>
      <c r="G11" s="107">
        <f>G12+G13+G15+G20+G21+G22+G23+G14+G24+G19</f>
        <v>1244.7</v>
      </c>
      <c r="H11" s="107">
        <f>H12+H13+H15+H20+H21+H22+H23+H14+H24+H19</f>
        <v>0</v>
      </c>
      <c r="I11" s="107">
        <f>I12+I13+I15+I20+I21+I22+I23+I14+I24+I19</f>
        <v>1303.4999999999998</v>
      </c>
      <c r="J11" s="107">
        <f>J12+J13+J15+J20+J21+J22+J23+J14+J24</f>
        <v>778.3000000000001</v>
      </c>
      <c r="K11" s="122">
        <f t="shared" si="1"/>
        <v>157.06711652006263</v>
      </c>
      <c r="L11" s="122">
        <f t="shared" si="2"/>
        <v>104.72402988671968</v>
      </c>
      <c r="M11" s="123"/>
      <c r="N11" s="123"/>
      <c r="O11" s="124">
        <f t="shared" si="3"/>
        <v>473.5999999999997</v>
      </c>
      <c r="P11" s="124">
        <f t="shared" si="4"/>
        <v>58.79999999999973</v>
      </c>
    </row>
    <row r="12" spans="1:16" ht="45" customHeight="1">
      <c r="A12" s="54" t="s">
        <v>122</v>
      </c>
      <c r="B12" s="148" t="s">
        <v>16</v>
      </c>
      <c r="C12" s="56"/>
      <c r="D12" s="56"/>
      <c r="E12" s="105">
        <v>0.7</v>
      </c>
      <c r="F12" s="108"/>
      <c r="G12" s="108">
        <v>0</v>
      </c>
      <c r="H12" s="121"/>
      <c r="I12" s="105">
        <v>0</v>
      </c>
      <c r="J12" s="121">
        <v>0.2</v>
      </c>
      <c r="K12" s="125">
        <f t="shared" si="1"/>
        <v>0</v>
      </c>
      <c r="L12" s="125" t="e">
        <f t="shared" si="2"/>
        <v>#DIV/0!</v>
      </c>
      <c r="M12" s="126"/>
      <c r="N12" s="126"/>
      <c r="O12" s="127">
        <f t="shared" si="3"/>
        <v>-0.7</v>
      </c>
      <c r="P12" s="127">
        <f t="shared" si="4"/>
        <v>0</v>
      </c>
    </row>
    <row r="13" spans="1:16" ht="23.25" customHeight="1">
      <c r="A13" s="54" t="s">
        <v>123</v>
      </c>
      <c r="B13" s="149" t="s">
        <v>17</v>
      </c>
      <c r="C13" s="56"/>
      <c r="D13" s="56"/>
      <c r="E13" s="105">
        <v>655.4</v>
      </c>
      <c r="F13" s="108"/>
      <c r="G13" s="108">
        <v>1180</v>
      </c>
      <c r="H13" s="121"/>
      <c r="I13" s="105">
        <v>1200.4</v>
      </c>
      <c r="J13" s="121">
        <v>633.5</v>
      </c>
      <c r="K13" s="125">
        <f t="shared" si="1"/>
        <v>183.15532499237108</v>
      </c>
      <c r="L13" s="125">
        <f t="shared" si="2"/>
        <v>101.72881355932203</v>
      </c>
      <c r="M13" s="126"/>
      <c r="N13" s="126"/>
      <c r="O13" s="127">
        <f t="shared" si="3"/>
        <v>545.0000000000001</v>
      </c>
      <c r="P13" s="127">
        <f t="shared" si="4"/>
        <v>20.40000000000009</v>
      </c>
    </row>
    <row r="14" spans="1:16" ht="23.25" customHeight="1">
      <c r="A14" s="54" t="s">
        <v>139</v>
      </c>
      <c r="B14" s="149" t="s">
        <v>129</v>
      </c>
      <c r="C14" s="56"/>
      <c r="D14" s="56"/>
      <c r="E14" s="105">
        <v>39.7</v>
      </c>
      <c r="F14" s="108"/>
      <c r="G14" s="108">
        <v>0</v>
      </c>
      <c r="H14" s="121"/>
      <c r="I14" s="105">
        <v>0</v>
      </c>
      <c r="J14" s="121"/>
      <c r="K14" s="125">
        <f t="shared" si="1"/>
        <v>0</v>
      </c>
      <c r="L14" s="125" t="e">
        <f t="shared" si="2"/>
        <v>#DIV/0!</v>
      </c>
      <c r="M14" s="126"/>
      <c r="N14" s="126"/>
      <c r="O14" s="127">
        <f t="shared" si="3"/>
        <v>-39.7</v>
      </c>
      <c r="P14" s="127">
        <f t="shared" si="4"/>
        <v>0</v>
      </c>
    </row>
    <row r="15" spans="1:16" ht="24" customHeight="1">
      <c r="A15" s="54" t="s">
        <v>124</v>
      </c>
      <c r="B15" s="149" t="s">
        <v>129</v>
      </c>
      <c r="C15" s="56"/>
      <c r="D15" s="56"/>
      <c r="E15" s="105">
        <f>SUM(E16:E18)</f>
        <v>17.9</v>
      </c>
      <c r="F15" s="105">
        <f>SUM(F16:F18)</f>
        <v>0</v>
      </c>
      <c r="G15" s="105">
        <f>SUM(G16:G18)</f>
        <v>19.7</v>
      </c>
      <c r="H15" s="105">
        <f>SUM(H16:H18)</f>
        <v>0</v>
      </c>
      <c r="I15" s="105">
        <f>SUM(I16:I18)</f>
        <v>24.1</v>
      </c>
      <c r="J15" s="121">
        <v>72</v>
      </c>
      <c r="K15" s="125">
        <f t="shared" si="1"/>
        <v>134.6368715083799</v>
      </c>
      <c r="L15" s="125">
        <f t="shared" si="2"/>
        <v>122.33502538071068</v>
      </c>
      <c r="M15" s="126"/>
      <c r="N15" s="126"/>
      <c r="O15" s="127">
        <f t="shared" si="3"/>
        <v>6.200000000000003</v>
      </c>
      <c r="P15" s="127">
        <f t="shared" si="4"/>
        <v>4.400000000000002</v>
      </c>
    </row>
    <row r="16" spans="1:16" ht="19.5">
      <c r="A16" s="15">
        <v>18020000</v>
      </c>
      <c r="B16" s="16" t="s">
        <v>19</v>
      </c>
      <c r="C16" s="56"/>
      <c r="D16" s="56"/>
      <c r="E16" s="105">
        <v>0</v>
      </c>
      <c r="F16" s="108"/>
      <c r="G16" s="108">
        <v>0</v>
      </c>
      <c r="H16" s="121"/>
      <c r="I16" s="105">
        <v>0</v>
      </c>
      <c r="J16" s="121"/>
      <c r="K16" s="125" t="e">
        <f t="shared" si="1"/>
        <v>#DIV/0!</v>
      </c>
      <c r="L16" s="125" t="e">
        <f t="shared" si="2"/>
        <v>#DIV/0!</v>
      </c>
      <c r="M16" s="126"/>
      <c r="N16" s="126"/>
      <c r="O16" s="127">
        <f t="shared" si="3"/>
        <v>0</v>
      </c>
      <c r="P16" s="127">
        <f t="shared" si="4"/>
        <v>0</v>
      </c>
    </row>
    <row r="17" spans="1:16" ht="19.5">
      <c r="A17" s="15">
        <v>18030000</v>
      </c>
      <c r="B17" s="16" t="s">
        <v>20</v>
      </c>
      <c r="C17" s="56"/>
      <c r="D17" s="56"/>
      <c r="E17" s="105">
        <v>0</v>
      </c>
      <c r="F17" s="108"/>
      <c r="G17" s="108">
        <v>0.2</v>
      </c>
      <c r="H17" s="121"/>
      <c r="I17" s="105">
        <v>0.8</v>
      </c>
      <c r="J17" s="121"/>
      <c r="K17" s="125" t="e">
        <f t="shared" si="1"/>
        <v>#DIV/0!</v>
      </c>
      <c r="L17" s="125">
        <f t="shared" si="2"/>
        <v>400</v>
      </c>
      <c r="M17" s="126"/>
      <c r="N17" s="126"/>
      <c r="O17" s="127">
        <f t="shared" si="3"/>
        <v>0.8</v>
      </c>
      <c r="P17" s="127">
        <f t="shared" si="4"/>
        <v>0.6000000000000001</v>
      </c>
    </row>
    <row r="18" spans="1:16" ht="30" customHeight="1">
      <c r="A18" s="15">
        <v>18040000</v>
      </c>
      <c r="B18" s="17" t="s">
        <v>21</v>
      </c>
      <c r="C18" s="56"/>
      <c r="D18" s="56"/>
      <c r="E18" s="105">
        <v>17.9</v>
      </c>
      <c r="F18" s="108"/>
      <c r="G18" s="108">
        <v>19.5</v>
      </c>
      <c r="H18" s="121"/>
      <c r="I18" s="105">
        <v>23.3</v>
      </c>
      <c r="J18" s="121"/>
      <c r="K18" s="125">
        <f t="shared" si="1"/>
        <v>130.16759776536315</v>
      </c>
      <c r="L18" s="125">
        <f t="shared" si="2"/>
        <v>119.48717948717949</v>
      </c>
      <c r="M18" s="126"/>
      <c r="N18" s="126"/>
      <c r="O18" s="127">
        <f t="shared" si="3"/>
        <v>5.400000000000002</v>
      </c>
      <c r="P18" s="127">
        <f t="shared" si="4"/>
        <v>3.8000000000000007</v>
      </c>
    </row>
    <row r="19" spans="1:16" ht="30" customHeight="1">
      <c r="A19" s="169">
        <v>19040100</v>
      </c>
      <c r="B19" s="145" t="s">
        <v>41</v>
      </c>
      <c r="C19" s="56"/>
      <c r="D19" s="56"/>
      <c r="E19" s="105">
        <v>0</v>
      </c>
      <c r="F19" s="108"/>
      <c r="G19" s="108">
        <v>0</v>
      </c>
      <c r="H19" s="121"/>
      <c r="I19" s="105">
        <v>0.1</v>
      </c>
      <c r="J19" s="121"/>
      <c r="K19" s="125" t="e">
        <f t="shared" si="1"/>
        <v>#DIV/0!</v>
      </c>
      <c r="L19" s="125" t="e">
        <f t="shared" si="2"/>
        <v>#DIV/0!</v>
      </c>
      <c r="M19" s="126"/>
      <c r="N19" s="126"/>
      <c r="O19" s="127">
        <f t="shared" si="3"/>
        <v>0.1</v>
      </c>
      <c r="P19" s="127">
        <f t="shared" si="4"/>
        <v>0.1</v>
      </c>
    </row>
    <row r="20" spans="1:16" ht="51" customHeight="1">
      <c r="A20" s="152" t="s">
        <v>118</v>
      </c>
      <c r="B20" s="147" t="s">
        <v>23</v>
      </c>
      <c r="C20" s="56"/>
      <c r="D20" s="56"/>
      <c r="E20" s="105">
        <v>56.2</v>
      </c>
      <c r="F20" s="108"/>
      <c r="G20" s="108">
        <v>45</v>
      </c>
      <c r="H20" s="121"/>
      <c r="I20" s="105">
        <v>61.3</v>
      </c>
      <c r="J20" s="121">
        <v>72</v>
      </c>
      <c r="K20" s="125">
        <f t="shared" si="1"/>
        <v>109.0747330960854</v>
      </c>
      <c r="L20" s="125">
        <f t="shared" si="2"/>
        <v>136.22222222222223</v>
      </c>
      <c r="M20" s="126"/>
      <c r="N20" s="126"/>
      <c r="O20" s="127">
        <f t="shared" si="3"/>
        <v>5.099999999999994</v>
      </c>
      <c r="P20" s="127">
        <f t="shared" si="4"/>
        <v>16.299999999999997</v>
      </c>
    </row>
    <row r="21" spans="1:16" ht="50.25" customHeight="1">
      <c r="A21" s="153" t="s">
        <v>134</v>
      </c>
      <c r="B21" s="150" t="s">
        <v>28</v>
      </c>
      <c r="C21" s="56"/>
      <c r="D21" s="56"/>
      <c r="E21" s="108">
        <f>0.1+13.3</f>
        <v>13.4</v>
      </c>
      <c r="F21" s="108"/>
      <c r="G21" s="108">
        <v>0</v>
      </c>
      <c r="H21" s="121"/>
      <c r="I21" s="109">
        <v>14.7</v>
      </c>
      <c r="J21" s="121">
        <v>0.2</v>
      </c>
      <c r="K21" s="125">
        <f t="shared" si="1"/>
        <v>109.70149253731343</v>
      </c>
      <c r="L21" s="125" t="e">
        <f t="shared" si="2"/>
        <v>#DIV/0!</v>
      </c>
      <c r="M21" s="126"/>
      <c r="N21" s="126"/>
      <c r="O21" s="127">
        <f t="shared" si="3"/>
        <v>1.299999999999999</v>
      </c>
      <c r="P21" s="127">
        <f t="shared" si="4"/>
        <v>14.7</v>
      </c>
    </row>
    <row r="22" spans="1:16" ht="50.25" customHeight="1">
      <c r="A22" s="153" t="s">
        <v>138</v>
      </c>
      <c r="B22" s="150" t="s">
        <v>130</v>
      </c>
      <c r="C22" s="56"/>
      <c r="D22" s="56"/>
      <c r="E22" s="108">
        <v>5</v>
      </c>
      <c r="F22" s="108"/>
      <c r="G22" s="108">
        <v>0</v>
      </c>
      <c r="H22" s="121"/>
      <c r="I22" s="109">
        <v>-0.4</v>
      </c>
      <c r="J22" s="121"/>
      <c r="K22" s="125">
        <f t="shared" si="1"/>
        <v>-8</v>
      </c>
      <c r="L22" s="125" t="e">
        <f t="shared" si="2"/>
        <v>#DIV/0!</v>
      </c>
      <c r="M22" s="126"/>
      <c r="N22" s="126"/>
      <c r="O22" s="127">
        <f t="shared" si="3"/>
        <v>-5.4</v>
      </c>
      <c r="P22" s="127">
        <f t="shared" si="4"/>
        <v>-0.4</v>
      </c>
    </row>
    <row r="23" spans="1:16" ht="27.75" customHeight="1">
      <c r="A23" s="153" t="s">
        <v>24</v>
      </c>
      <c r="B23" s="151" t="s">
        <v>25</v>
      </c>
      <c r="C23" s="46"/>
      <c r="D23" s="50"/>
      <c r="E23" s="105">
        <v>0.4</v>
      </c>
      <c r="F23" s="106"/>
      <c r="G23" s="106">
        <v>0</v>
      </c>
      <c r="H23" s="121"/>
      <c r="I23" s="105">
        <v>3.3</v>
      </c>
      <c r="J23" s="121">
        <v>0.4</v>
      </c>
      <c r="K23" s="125">
        <f>I23/E23*100</f>
        <v>824.9999999999998</v>
      </c>
      <c r="L23" s="125" t="e">
        <f>I23/G23*100</f>
        <v>#DIV/0!</v>
      </c>
      <c r="M23" s="126"/>
      <c r="N23" s="126"/>
      <c r="O23" s="127">
        <f>I23-E23</f>
        <v>2.9</v>
      </c>
      <c r="P23" s="127">
        <f>I23-G23</f>
        <v>3.3</v>
      </c>
    </row>
    <row r="24" spans="1:16" ht="39.75" customHeight="1">
      <c r="A24" s="164" t="s">
        <v>140</v>
      </c>
      <c r="B24" s="45" t="s">
        <v>141</v>
      </c>
      <c r="C24" s="165"/>
      <c r="D24" s="166"/>
      <c r="E24" s="108">
        <v>41.2</v>
      </c>
      <c r="F24" s="167"/>
      <c r="G24" s="167">
        <v>0</v>
      </c>
      <c r="H24" s="168"/>
      <c r="I24" s="108">
        <v>0</v>
      </c>
      <c r="J24" s="168"/>
      <c r="K24" s="125">
        <f>I24/E24*100</f>
        <v>0</v>
      </c>
      <c r="L24" s="125" t="e">
        <f>I24/G24*100</f>
        <v>#DIV/0!</v>
      </c>
      <c r="M24" s="126"/>
      <c r="N24" s="126"/>
      <c r="O24" s="127">
        <f>I24-E24</f>
        <v>-41.2</v>
      </c>
      <c r="P24" s="127">
        <f>I24-G24</f>
        <v>0</v>
      </c>
    </row>
    <row r="25" spans="1:16" ht="33.75" customHeight="1">
      <c r="A25" s="275" t="s">
        <v>82</v>
      </c>
      <c r="B25" s="276"/>
      <c r="C25" s="60"/>
      <c r="D25" s="60"/>
      <c r="E25" s="110">
        <f aca="true" t="shared" si="5" ref="E25:J25">E7+E11</f>
        <v>6449.6</v>
      </c>
      <c r="F25" s="110">
        <f t="shared" si="5"/>
        <v>0</v>
      </c>
      <c r="G25" s="110">
        <f t="shared" si="5"/>
        <v>9106.4</v>
      </c>
      <c r="H25" s="110">
        <f t="shared" si="5"/>
        <v>0</v>
      </c>
      <c r="I25" s="110">
        <f t="shared" si="5"/>
        <v>9203.699999999999</v>
      </c>
      <c r="J25" s="110">
        <f t="shared" si="5"/>
        <v>7811.6</v>
      </c>
      <c r="K25" s="128">
        <f t="shared" si="1"/>
        <v>142.70187298437108</v>
      </c>
      <c r="L25" s="128">
        <f t="shared" si="2"/>
        <v>101.06847931125363</v>
      </c>
      <c r="M25" s="129"/>
      <c r="N25" s="129"/>
      <c r="O25" s="130">
        <f t="shared" si="3"/>
        <v>2754.0999999999985</v>
      </c>
      <c r="P25" s="131">
        <f t="shared" si="4"/>
        <v>97.29999999999927</v>
      </c>
    </row>
    <row r="26" spans="1:16" ht="39" customHeight="1">
      <c r="A26" s="140">
        <v>41030000</v>
      </c>
      <c r="B26" s="63" t="s">
        <v>83</v>
      </c>
      <c r="C26" s="64"/>
      <c r="D26" s="65"/>
      <c r="E26" s="111">
        <v>1450</v>
      </c>
      <c r="F26" s="112"/>
      <c r="G26" s="112">
        <v>2204.8</v>
      </c>
      <c r="H26" s="121"/>
      <c r="I26" s="111">
        <v>2128.3</v>
      </c>
      <c r="J26" s="121">
        <v>2850</v>
      </c>
      <c r="K26" s="125">
        <f t="shared" si="1"/>
        <v>146.7793103448276</v>
      </c>
      <c r="L26" s="125">
        <f t="shared" si="2"/>
        <v>96.53029753265602</v>
      </c>
      <c r="M26" s="132"/>
      <c r="N26" s="132"/>
      <c r="O26" s="127">
        <f t="shared" si="3"/>
        <v>678.3000000000002</v>
      </c>
      <c r="P26" s="127">
        <f t="shared" si="4"/>
        <v>-76.5</v>
      </c>
    </row>
    <row r="27" spans="1:16" ht="54" customHeight="1">
      <c r="A27" s="277" t="s">
        <v>137</v>
      </c>
      <c r="B27" s="278"/>
      <c r="C27" s="68"/>
      <c r="D27" s="69"/>
      <c r="E27" s="113">
        <f aca="true" t="shared" si="6" ref="E27:J27">E25+E26</f>
        <v>7899.6</v>
      </c>
      <c r="F27" s="113">
        <f t="shared" si="6"/>
        <v>0</v>
      </c>
      <c r="G27" s="113">
        <f t="shared" si="6"/>
        <v>11311.2</v>
      </c>
      <c r="H27" s="113">
        <f t="shared" si="6"/>
        <v>0</v>
      </c>
      <c r="I27" s="113">
        <f t="shared" si="6"/>
        <v>11332</v>
      </c>
      <c r="J27" s="113">
        <f t="shared" si="6"/>
        <v>10661.6</v>
      </c>
      <c r="K27" s="133">
        <f t="shared" si="1"/>
        <v>143.45030128107751</v>
      </c>
      <c r="L27" s="133">
        <f t="shared" si="2"/>
        <v>100.18388853525708</v>
      </c>
      <c r="M27" s="134"/>
      <c r="N27" s="134"/>
      <c r="O27" s="135">
        <f t="shared" si="3"/>
        <v>3432.3999999999996</v>
      </c>
      <c r="P27" s="135">
        <f t="shared" si="4"/>
        <v>20.799999999999272</v>
      </c>
    </row>
    <row r="28" spans="1:16" ht="28.5" customHeight="1">
      <c r="A28" s="279" t="s">
        <v>85</v>
      </c>
      <c r="B28" s="280"/>
      <c r="C28" s="72"/>
      <c r="D28" s="73"/>
      <c r="E28" s="114">
        <f aca="true" t="shared" si="7" ref="E28:J28">SUM(E29:E35)</f>
        <v>520.7</v>
      </c>
      <c r="F28" s="114">
        <f t="shared" si="7"/>
        <v>0</v>
      </c>
      <c r="G28" s="114">
        <f t="shared" si="7"/>
        <v>297.4</v>
      </c>
      <c r="H28" s="114">
        <f t="shared" si="7"/>
        <v>0</v>
      </c>
      <c r="I28" s="114">
        <f t="shared" si="7"/>
        <v>589.2</v>
      </c>
      <c r="J28" s="114">
        <f t="shared" si="7"/>
        <v>645.7</v>
      </c>
      <c r="K28" s="128">
        <f t="shared" si="1"/>
        <v>113.15536777415018</v>
      </c>
      <c r="L28" s="128">
        <f t="shared" si="2"/>
        <v>198.1170141223941</v>
      </c>
      <c r="M28" s="136"/>
      <c r="N28" s="136"/>
      <c r="O28" s="131">
        <f t="shared" si="3"/>
        <v>68.5</v>
      </c>
      <c r="P28" s="131">
        <f t="shared" si="4"/>
        <v>291.80000000000007</v>
      </c>
    </row>
    <row r="29" spans="1:16" ht="30">
      <c r="A29" s="142">
        <v>12000000</v>
      </c>
      <c r="B29" s="145" t="s">
        <v>38</v>
      </c>
      <c r="C29" s="64"/>
      <c r="D29" s="77"/>
      <c r="E29" s="112">
        <v>73.1</v>
      </c>
      <c r="F29" s="111"/>
      <c r="G29" s="111"/>
      <c r="H29" s="121"/>
      <c r="I29" s="112">
        <v>14</v>
      </c>
      <c r="J29" s="121">
        <v>39.7</v>
      </c>
      <c r="K29" s="125">
        <f t="shared" si="1"/>
        <v>19.15184678522572</v>
      </c>
      <c r="L29" s="125" t="e">
        <f t="shared" si="2"/>
        <v>#DIV/0!</v>
      </c>
      <c r="M29" s="137"/>
      <c r="N29" s="137"/>
      <c r="O29" s="127">
        <f t="shared" si="3"/>
        <v>-59.099999999999994</v>
      </c>
      <c r="P29" s="127">
        <f t="shared" si="4"/>
        <v>14</v>
      </c>
    </row>
    <row r="30" spans="1:16" ht="90">
      <c r="A30" s="141">
        <v>18041500</v>
      </c>
      <c r="B30" s="145" t="s">
        <v>40</v>
      </c>
      <c r="C30" s="64"/>
      <c r="D30" s="65"/>
      <c r="E30" s="112">
        <v>0</v>
      </c>
      <c r="F30" s="116"/>
      <c r="G30" s="116"/>
      <c r="H30" s="121"/>
      <c r="I30" s="112">
        <v>7.9</v>
      </c>
      <c r="J30" s="121"/>
      <c r="K30" s="125" t="e">
        <f t="shared" si="1"/>
        <v>#DIV/0!</v>
      </c>
      <c r="L30" s="125" t="e">
        <f t="shared" si="2"/>
        <v>#DIV/0!</v>
      </c>
      <c r="M30" s="137"/>
      <c r="N30" s="137"/>
      <c r="O30" s="127">
        <f t="shared" si="3"/>
        <v>7.9</v>
      </c>
      <c r="P30" s="127">
        <f t="shared" si="4"/>
        <v>7.9</v>
      </c>
    </row>
    <row r="31" spans="1:16" ht="19.5">
      <c r="A31" s="44" t="s">
        <v>125</v>
      </c>
      <c r="B31" s="145" t="s">
        <v>44</v>
      </c>
      <c r="C31" s="46"/>
      <c r="D31" s="50"/>
      <c r="E31" s="105">
        <v>134.7</v>
      </c>
      <c r="F31" s="106"/>
      <c r="G31" s="106"/>
      <c r="H31" s="121"/>
      <c r="I31" s="105">
        <v>120.8</v>
      </c>
      <c r="J31" s="121">
        <v>155.6</v>
      </c>
      <c r="K31" s="125">
        <f t="shared" si="1"/>
        <v>89.6807720861173</v>
      </c>
      <c r="L31" s="125" t="e">
        <f t="shared" si="2"/>
        <v>#DIV/0!</v>
      </c>
      <c r="M31" s="137"/>
      <c r="N31" s="137"/>
      <c r="O31" s="127">
        <f t="shared" si="3"/>
        <v>-13.899999999999991</v>
      </c>
      <c r="P31" s="127">
        <f t="shared" si="4"/>
        <v>120.8</v>
      </c>
    </row>
    <row r="32" spans="1:16" ht="15.75">
      <c r="A32" s="141" t="s">
        <v>127</v>
      </c>
      <c r="B32" s="145" t="s">
        <v>42</v>
      </c>
      <c r="C32" s="64"/>
      <c r="D32" s="65"/>
      <c r="E32" s="112">
        <v>0</v>
      </c>
      <c r="F32" s="143"/>
      <c r="G32" s="144"/>
      <c r="H32" s="121"/>
      <c r="I32" s="112">
        <v>0.1</v>
      </c>
      <c r="J32" s="121"/>
      <c r="K32" s="125" t="e">
        <f t="shared" si="1"/>
        <v>#DIV/0!</v>
      </c>
      <c r="L32" s="125" t="e">
        <f t="shared" si="2"/>
        <v>#DIV/0!</v>
      </c>
      <c r="M32" s="137"/>
      <c r="N32" s="137"/>
      <c r="O32" s="127">
        <f t="shared" si="3"/>
        <v>0.1</v>
      </c>
      <c r="P32" s="127">
        <f t="shared" si="4"/>
        <v>0.1</v>
      </c>
    </row>
    <row r="33" spans="1:16" ht="33.75" customHeight="1">
      <c r="A33" s="141">
        <v>19050000</v>
      </c>
      <c r="B33" s="145" t="s">
        <v>43</v>
      </c>
      <c r="C33" s="64"/>
      <c r="D33" s="65"/>
      <c r="E33" s="112">
        <v>1.5</v>
      </c>
      <c r="F33" s="116"/>
      <c r="G33" s="116"/>
      <c r="H33" s="121"/>
      <c r="I33" s="112">
        <v>0</v>
      </c>
      <c r="J33" s="121">
        <v>0.9</v>
      </c>
      <c r="K33" s="125">
        <f t="shared" si="1"/>
        <v>0</v>
      </c>
      <c r="L33" s="125" t="e">
        <f t="shared" si="2"/>
        <v>#DIV/0!</v>
      </c>
      <c r="M33" s="137"/>
      <c r="N33" s="137"/>
      <c r="O33" s="127">
        <f t="shared" si="3"/>
        <v>-1.5</v>
      </c>
      <c r="P33" s="127">
        <f t="shared" si="4"/>
        <v>0</v>
      </c>
    </row>
    <row r="34" spans="1:16" ht="30">
      <c r="A34" s="141">
        <v>25000000</v>
      </c>
      <c r="B34" s="148" t="s">
        <v>51</v>
      </c>
      <c r="C34" s="64"/>
      <c r="D34" s="65"/>
      <c r="E34" s="112">
        <v>310.3</v>
      </c>
      <c r="F34" s="115"/>
      <c r="G34" s="112">
        <v>297.4</v>
      </c>
      <c r="H34" s="121"/>
      <c r="I34" s="112">
        <v>442.7</v>
      </c>
      <c r="J34" s="121">
        <v>436.6</v>
      </c>
      <c r="K34" s="125">
        <f t="shared" si="1"/>
        <v>142.66838543345148</v>
      </c>
      <c r="L34" s="125">
        <f t="shared" si="2"/>
        <v>148.8567585743107</v>
      </c>
      <c r="M34" s="137"/>
      <c r="N34" s="137"/>
      <c r="O34" s="127">
        <f t="shared" si="3"/>
        <v>132.39999999999998</v>
      </c>
      <c r="P34" s="127">
        <f t="shared" si="4"/>
        <v>145.3</v>
      </c>
    </row>
    <row r="35" spans="1:16" ht="24.75" customHeight="1">
      <c r="A35" s="141" t="s">
        <v>126</v>
      </c>
      <c r="B35" s="154" t="s">
        <v>135</v>
      </c>
      <c r="C35" s="64"/>
      <c r="D35" s="65"/>
      <c r="E35" s="111">
        <v>1.1</v>
      </c>
      <c r="F35" s="111"/>
      <c r="G35" s="111"/>
      <c r="H35" s="121"/>
      <c r="I35" s="112">
        <v>3.7</v>
      </c>
      <c r="J35" s="121">
        <v>12.9</v>
      </c>
      <c r="K35" s="125">
        <f t="shared" si="1"/>
        <v>336.3636363636363</v>
      </c>
      <c r="L35" s="125" t="e">
        <f t="shared" si="2"/>
        <v>#DIV/0!</v>
      </c>
      <c r="M35" s="137"/>
      <c r="N35" s="137"/>
      <c r="O35" s="127">
        <f t="shared" si="3"/>
        <v>2.6</v>
      </c>
      <c r="P35" s="127">
        <f t="shared" si="4"/>
        <v>3.7</v>
      </c>
    </row>
    <row r="36" spans="1:16" ht="31.5">
      <c r="A36" s="80" t="s">
        <v>136</v>
      </c>
      <c r="B36" s="81" t="s">
        <v>89</v>
      </c>
      <c r="C36" s="64"/>
      <c r="D36" s="65"/>
      <c r="E36" s="117">
        <v>0</v>
      </c>
      <c r="F36" s="117"/>
      <c r="G36" s="117">
        <v>104.6</v>
      </c>
      <c r="H36" s="118">
        <v>340.9</v>
      </c>
      <c r="I36" s="119">
        <v>0</v>
      </c>
      <c r="J36" s="121">
        <v>701.5</v>
      </c>
      <c r="K36" s="125" t="e">
        <f t="shared" si="1"/>
        <v>#DIV/0!</v>
      </c>
      <c r="L36" s="125">
        <f t="shared" si="2"/>
        <v>0</v>
      </c>
      <c r="M36" s="138"/>
      <c r="N36" s="138"/>
      <c r="O36" s="139">
        <f t="shared" si="3"/>
        <v>0</v>
      </c>
      <c r="P36" s="139">
        <f t="shared" si="4"/>
        <v>-104.6</v>
      </c>
    </row>
    <row r="37" spans="1:16" ht="0.75" customHeight="1">
      <c r="A37" s="40">
        <v>430100</v>
      </c>
      <c r="B37" s="85" t="s">
        <v>90</v>
      </c>
      <c r="C37" s="86"/>
      <c r="D37" s="77"/>
      <c r="E37" s="117"/>
      <c r="F37" s="120"/>
      <c r="G37" s="120"/>
      <c r="H37" s="118" t="e">
        <f>G37-#REF!</f>
        <v>#REF!</v>
      </c>
      <c r="I37" s="119">
        <v>0</v>
      </c>
      <c r="J37" s="118" t="e">
        <f>I37-#REF!</f>
        <v>#REF!</v>
      </c>
      <c r="K37" s="125" t="e">
        <f t="shared" si="1"/>
        <v>#DIV/0!</v>
      </c>
      <c r="L37" s="125" t="e">
        <f t="shared" si="2"/>
        <v>#DIV/0!</v>
      </c>
      <c r="M37" s="138"/>
      <c r="N37" s="138"/>
      <c r="O37" s="139">
        <f t="shared" si="3"/>
        <v>0</v>
      </c>
      <c r="P37" s="139">
        <f t="shared" si="4"/>
        <v>0</v>
      </c>
    </row>
    <row r="38" spans="1:19" ht="40.5" customHeight="1">
      <c r="A38" s="277" t="s">
        <v>91</v>
      </c>
      <c r="B38" s="281"/>
      <c r="C38" s="155"/>
      <c r="D38" s="156"/>
      <c r="E38" s="157">
        <f>E28+E36+E37</f>
        <v>520.7</v>
      </c>
      <c r="F38" s="157">
        <f>F28+F36+F37</f>
        <v>0</v>
      </c>
      <c r="G38" s="157">
        <f>G28+G36</f>
        <v>402</v>
      </c>
      <c r="H38" s="157">
        <f>H28+H36</f>
        <v>340.9</v>
      </c>
      <c r="I38" s="157">
        <f>I28+I36</f>
        <v>589.2</v>
      </c>
      <c r="J38" s="157" t="e">
        <f>J28+J36+J37</f>
        <v>#REF!</v>
      </c>
      <c r="K38" s="133">
        <f t="shared" si="1"/>
        <v>113.15536777415018</v>
      </c>
      <c r="L38" s="133">
        <f t="shared" si="2"/>
        <v>146.56716417910448</v>
      </c>
      <c r="M38" s="134"/>
      <c r="N38" s="134"/>
      <c r="O38" s="135">
        <f t="shared" si="3"/>
        <v>68.5</v>
      </c>
      <c r="P38" s="135">
        <f t="shared" si="4"/>
        <v>187.20000000000005</v>
      </c>
      <c r="S38" s="49"/>
    </row>
    <row r="39" spans="1:16" ht="57" customHeight="1">
      <c r="A39" s="287" t="s">
        <v>53</v>
      </c>
      <c r="B39" s="288"/>
      <c r="C39" s="158"/>
      <c r="D39" s="159"/>
      <c r="E39" s="160">
        <f aca="true" t="shared" si="8" ref="E39:J39">E27+E38</f>
        <v>8420.300000000001</v>
      </c>
      <c r="F39" s="160">
        <f t="shared" si="8"/>
        <v>0</v>
      </c>
      <c r="G39" s="160">
        <f t="shared" si="8"/>
        <v>11713.2</v>
      </c>
      <c r="H39" s="160">
        <f t="shared" si="8"/>
        <v>340.9</v>
      </c>
      <c r="I39" s="160">
        <f t="shared" si="8"/>
        <v>11921.2</v>
      </c>
      <c r="J39" s="160" t="e">
        <f t="shared" si="8"/>
        <v>#REF!</v>
      </c>
      <c r="K39" s="161">
        <f t="shared" si="1"/>
        <v>141.57690343574455</v>
      </c>
      <c r="L39" s="161">
        <f t="shared" si="2"/>
        <v>101.77577434006078</v>
      </c>
      <c r="M39" s="162"/>
      <c r="N39" s="162"/>
      <c r="O39" s="163">
        <f t="shared" si="3"/>
        <v>3500.8999999999996</v>
      </c>
      <c r="P39" s="163">
        <f t="shared" si="4"/>
        <v>208</v>
      </c>
    </row>
    <row r="40" spans="1:12" ht="32.25" customHeight="1" hidden="1">
      <c r="A40" s="274" t="s">
        <v>92</v>
      </c>
      <c r="B40" s="274"/>
      <c r="C40" s="274"/>
      <c r="D40" s="274"/>
      <c r="E40" s="274"/>
      <c r="F40" s="274"/>
      <c r="G40" s="274"/>
      <c r="H40" s="29"/>
      <c r="K40" s="38" t="s">
        <v>93</v>
      </c>
      <c r="L40" s="38"/>
    </row>
    <row r="41" spans="2:10" ht="15.75">
      <c r="B41" s="38"/>
      <c r="C41" s="38"/>
      <c r="D41" s="38"/>
      <c r="E41" s="38"/>
      <c r="F41" s="38"/>
      <c r="G41" s="38"/>
      <c r="H41" s="38"/>
      <c r="I41" s="99"/>
      <c r="J41" s="99"/>
    </row>
    <row r="42" spans="2:8" ht="15.75">
      <c r="B42" s="38"/>
      <c r="C42" s="38"/>
      <c r="D42" s="38"/>
      <c r="E42" s="38"/>
      <c r="F42" s="38"/>
      <c r="G42" s="38"/>
      <c r="H42" s="38"/>
    </row>
    <row r="43" spans="2:8" ht="15.75">
      <c r="B43" s="38"/>
      <c r="C43" s="38"/>
      <c r="D43" s="38"/>
      <c r="E43" s="38"/>
      <c r="F43" s="38"/>
      <c r="G43" s="38"/>
      <c r="H43" s="38"/>
    </row>
    <row r="44" spans="2:8" ht="15.75">
      <c r="B44" s="38"/>
      <c r="C44" s="38"/>
      <c r="D44" s="38"/>
      <c r="E44" s="38"/>
      <c r="F44" s="38"/>
      <c r="G44" s="38"/>
      <c r="H44" s="38"/>
    </row>
    <row r="45" spans="2:8" ht="15.75">
      <c r="B45" s="38"/>
      <c r="C45" s="38"/>
      <c r="D45" s="38"/>
      <c r="E45" s="38"/>
      <c r="F45" s="38"/>
      <c r="G45" s="38"/>
      <c r="H45" s="38"/>
    </row>
    <row r="46" spans="2:8" ht="15.75">
      <c r="B46" s="38"/>
      <c r="C46" s="38"/>
      <c r="D46" s="38"/>
      <c r="E46" s="38"/>
      <c r="F46" s="38"/>
      <c r="G46" s="38"/>
      <c r="H46" s="38"/>
    </row>
    <row r="47" spans="2:8" ht="15.75">
      <c r="B47" s="38"/>
      <c r="C47" s="38"/>
      <c r="D47" s="38"/>
      <c r="E47" s="38"/>
      <c r="F47" s="38"/>
      <c r="G47" s="38"/>
      <c r="H47" s="38"/>
    </row>
    <row r="48" spans="2:8" ht="15.75">
      <c r="B48" s="38"/>
      <c r="C48" s="38"/>
      <c r="D48" s="38"/>
      <c r="E48" s="38"/>
      <c r="F48" s="38"/>
      <c r="G48" s="38"/>
      <c r="H48" s="38"/>
    </row>
    <row r="49" spans="2:8" ht="15.75">
      <c r="B49" s="38"/>
      <c r="C49" s="38"/>
      <c r="D49" s="38"/>
      <c r="E49" s="38"/>
      <c r="F49" s="38"/>
      <c r="G49" s="38"/>
      <c r="H49" s="38"/>
    </row>
    <row r="50" spans="2:8" ht="15.75">
      <c r="B50" s="38"/>
      <c r="C50" s="38"/>
      <c r="D50" s="38"/>
      <c r="E50" s="38"/>
      <c r="F50" s="38"/>
      <c r="G50" s="38"/>
      <c r="H50" s="38"/>
    </row>
    <row r="51" spans="2:8" ht="15.75">
      <c r="B51" s="38"/>
      <c r="C51" s="38"/>
      <c r="D51" s="38"/>
      <c r="E51" s="38"/>
      <c r="F51" s="38"/>
      <c r="G51" s="38"/>
      <c r="H51" s="38"/>
    </row>
    <row r="52" spans="2:8" ht="15.75">
      <c r="B52" s="38"/>
      <c r="C52" s="38"/>
      <c r="D52" s="38"/>
      <c r="E52" s="38"/>
      <c r="F52" s="38"/>
      <c r="G52" s="38"/>
      <c r="H52" s="38"/>
    </row>
    <row r="53" spans="2:8" ht="15.75">
      <c r="B53" s="38"/>
      <c r="C53" s="38"/>
      <c r="D53" s="38"/>
      <c r="E53" s="38"/>
      <c r="F53" s="38"/>
      <c r="G53" s="38"/>
      <c r="H53" s="38"/>
    </row>
    <row r="54" spans="2:8" ht="15.75">
      <c r="B54" s="38"/>
      <c r="C54" s="38"/>
      <c r="D54" s="38"/>
      <c r="E54" s="38"/>
      <c r="F54" s="38"/>
      <c r="G54" s="38"/>
      <c r="H54" s="38"/>
    </row>
    <row r="55" spans="2:8" ht="15.75">
      <c r="B55" s="38"/>
      <c r="C55" s="38"/>
      <c r="D55" s="38"/>
      <c r="E55" s="38"/>
      <c r="F55" s="38"/>
      <c r="G55" s="38"/>
      <c r="H55" s="38"/>
    </row>
    <row r="56" spans="2:8" ht="15.75">
      <c r="B56" s="38"/>
      <c r="C56" s="38"/>
      <c r="D56" s="38"/>
      <c r="E56" s="38"/>
      <c r="F56" s="38"/>
      <c r="G56" s="38"/>
      <c r="H56" s="38"/>
    </row>
    <row r="57" spans="2:8" ht="15.75">
      <c r="B57" s="38"/>
      <c r="C57" s="38"/>
      <c r="D57" s="38"/>
      <c r="E57" s="38"/>
      <c r="F57" s="38"/>
      <c r="G57" s="38"/>
      <c r="H57" s="38"/>
    </row>
    <row r="58" spans="2:8" ht="15.75">
      <c r="B58" s="38"/>
      <c r="C58" s="38"/>
      <c r="D58" s="38"/>
      <c r="E58" s="38"/>
      <c r="F58" s="38"/>
      <c r="G58" s="38"/>
      <c r="H58" s="38"/>
    </row>
    <row r="59" spans="2:8" ht="15.75">
      <c r="B59" s="38"/>
      <c r="C59" s="38"/>
      <c r="D59" s="38"/>
      <c r="E59" s="38"/>
      <c r="F59" s="38"/>
      <c r="G59" s="38"/>
      <c r="H59" s="38"/>
    </row>
    <row r="60" spans="2:8" ht="15.75">
      <c r="B60" s="38"/>
      <c r="C60" s="38"/>
      <c r="D60" s="38"/>
      <c r="E60" s="38"/>
      <c r="F60" s="38"/>
      <c r="G60" s="38"/>
      <c r="H60" s="38"/>
    </row>
  </sheetData>
  <mergeCells count="18">
    <mergeCell ref="A39:B39"/>
    <mergeCell ref="A40:G40"/>
    <mergeCell ref="A2:P2"/>
    <mergeCell ref="G4:H5"/>
    <mergeCell ref="I4:J5"/>
    <mergeCell ref="A25:B25"/>
    <mergeCell ref="A27:B27"/>
    <mergeCell ref="A28:B28"/>
    <mergeCell ref="A38:B38"/>
    <mergeCell ref="A11:B11"/>
    <mergeCell ref="O4:P4"/>
    <mergeCell ref="A7:B7"/>
    <mergeCell ref="K4:L4"/>
    <mergeCell ref="F4:F5"/>
    <mergeCell ref="A4:A5"/>
    <mergeCell ref="B4:B5"/>
    <mergeCell ref="C4:D4"/>
    <mergeCell ref="E4:E5"/>
  </mergeCells>
  <printOptions/>
  <pageMargins left="0.75" right="0.75" top="1" bottom="1" header="0.5" footer="0.5"/>
  <pageSetup fitToHeight="1" fitToWidth="1"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workbookViewId="0" topLeftCell="A28">
      <selection activeCell="F30" sqref="F30"/>
    </sheetView>
  </sheetViews>
  <sheetFormatPr defaultColWidth="9.00390625" defaultRowHeight="12.75"/>
  <cols>
    <col min="1" max="1" width="9.25390625" style="29" customWidth="1"/>
    <col min="2" max="2" width="34.375" style="30" customWidth="1"/>
    <col min="3" max="3" width="11.00390625" style="30" hidden="1" customWidth="1"/>
    <col min="4" max="4" width="14.75390625" style="30" hidden="1" customWidth="1"/>
    <col min="5" max="6" width="15.25390625" style="30" customWidth="1"/>
    <col min="7" max="7" width="14.25390625" style="30" customWidth="1"/>
    <col min="8" max="8" width="10.875" style="30" customWidth="1"/>
    <col min="9" max="9" width="13.625" style="183" customWidth="1"/>
    <col min="10" max="10" width="11.00390625" style="30" customWidth="1"/>
    <col min="11" max="12" width="11.875" style="30" customWidth="1"/>
    <col min="13" max="13" width="11.00390625" style="30" customWidth="1"/>
    <col min="14" max="14" width="0.12890625" style="30" hidden="1" customWidth="1"/>
    <col min="15" max="15" width="9.125" style="30" hidden="1" customWidth="1"/>
    <col min="16" max="16" width="13.125" style="30" customWidth="1"/>
    <col min="17" max="17" width="11.125" style="30" customWidth="1"/>
    <col min="18" max="19" width="9.125" style="30" customWidth="1"/>
    <col min="20" max="20" width="10.125" style="30" bestFit="1" customWidth="1"/>
    <col min="21" max="16384" width="9.125" style="30" customWidth="1"/>
  </cols>
  <sheetData>
    <row r="1" ht="15.75">
      <c r="Q1" s="30" t="s">
        <v>54</v>
      </c>
    </row>
    <row r="2" spans="1:17" ht="19.5" customHeight="1">
      <c r="A2" s="265" t="s">
        <v>145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</row>
    <row r="3" spans="2:13" ht="14.25" customHeight="1">
      <c r="B3" s="31"/>
      <c r="C3" s="34"/>
      <c r="D3" s="34"/>
      <c r="E3" s="32"/>
      <c r="F3" s="32"/>
      <c r="G3" s="35"/>
      <c r="H3" s="32"/>
      <c r="I3" s="184"/>
      <c r="J3" s="33"/>
      <c r="K3" s="33"/>
      <c r="L3" s="33"/>
      <c r="M3" s="33"/>
    </row>
    <row r="4" spans="1:17" s="38" customFormat="1" ht="35.25" customHeight="1">
      <c r="A4" s="291" t="s">
        <v>61</v>
      </c>
      <c r="B4" s="293" t="s">
        <v>62</v>
      </c>
      <c r="C4" s="262" t="s">
        <v>63</v>
      </c>
      <c r="D4" s="263"/>
      <c r="E4" s="289" t="s">
        <v>146</v>
      </c>
      <c r="F4" s="272" t="s">
        <v>3</v>
      </c>
      <c r="G4" s="266"/>
      <c r="H4" s="267"/>
      <c r="I4" s="283" t="s">
        <v>2</v>
      </c>
      <c r="J4" s="284"/>
      <c r="K4" s="272" t="s">
        <v>0</v>
      </c>
      <c r="L4" s="273"/>
      <c r="M4" s="273"/>
      <c r="N4" s="37"/>
      <c r="O4" s="37"/>
      <c r="P4" s="269" t="s">
        <v>1</v>
      </c>
      <c r="Q4" s="269"/>
    </row>
    <row r="5" spans="1:17" s="38" customFormat="1" ht="67.5" customHeight="1">
      <c r="A5" s="292"/>
      <c r="B5" s="294"/>
      <c r="C5" s="40" t="s">
        <v>65</v>
      </c>
      <c r="D5" s="40" t="s">
        <v>66</v>
      </c>
      <c r="E5" s="264"/>
      <c r="F5" s="36" t="s">
        <v>103</v>
      </c>
      <c r="G5" s="36" t="s">
        <v>147</v>
      </c>
      <c r="H5" s="41" t="s">
        <v>104</v>
      </c>
      <c r="I5" s="185" t="s">
        <v>147</v>
      </c>
      <c r="J5" s="41" t="s">
        <v>104</v>
      </c>
      <c r="K5" s="36" t="s">
        <v>4</v>
      </c>
      <c r="L5" s="36" t="s">
        <v>153</v>
      </c>
      <c r="M5" s="36" t="s">
        <v>148</v>
      </c>
      <c r="N5" s="36" t="s">
        <v>67</v>
      </c>
      <c r="O5" s="36" t="s">
        <v>68</v>
      </c>
      <c r="P5" s="36" t="s">
        <v>4</v>
      </c>
      <c r="Q5" s="36" t="s">
        <v>117</v>
      </c>
    </row>
    <row r="6" spans="1:17" ht="16.5" customHeight="1">
      <c r="A6" s="39">
        <v>1</v>
      </c>
      <c r="B6" s="1">
        <v>2</v>
      </c>
      <c r="C6" s="1">
        <v>3</v>
      </c>
      <c r="D6" s="1">
        <v>4</v>
      </c>
      <c r="E6" s="2">
        <v>3</v>
      </c>
      <c r="F6" s="2">
        <v>3</v>
      </c>
      <c r="G6" s="1">
        <v>4</v>
      </c>
      <c r="H6" s="1">
        <v>5</v>
      </c>
      <c r="I6" s="186">
        <v>6</v>
      </c>
      <c r="J6" s="3">
        <v>7</v>
      </c>
      <c r="K6" s="2">
        <v>8</v>
      </c>
      <c r="L6" s="2">
        <v>9</v>
      </c>
      <c r="M6" s="2">
        <v>10</v>
      </c>
      <c r="P6" s="2">
        <v>11</v>
      </c>
      <c r="Q6" s="2">
        <v>12</v>
      </c>
    </row>
    <row r="7" spans="1:17" ht="30" customHeight="1">
      <c r="A7" s="270" t="s">
        <v>69</v>
      </c>
      <c r="B7" s="271"/>
      <c r="C7" s="42"/>
      <c r="D7" s="42"/>
      <c r="E7" s="43">
        <f aca="true" t="shared" si="0" ref="E7:J7">SUM(E8:E10)</f>
        <v>11239.6</v>
      </c>
      <c r="F7" s="43">
        <f t="shared" si="0"/>
        <v>102118.2</v>
      </c>
      <c r="G7" s="43">
        <f t="shared" si="0"/>
        <v>14184.900000000001</v>
      </c>
      <c r="H7" s="43">
        <f t="shared" si="0"/>
        <v>7272.400000000001</v>
      </c>
      <c r="I7" s="187">
        <f t="shared" si="0"/>
        <v>17118.399999999998</v>
      </c>
      <c r="J7" s="43">
        <f t="shared" si="0"/>
        <v>9218.2</v>
      </c>
      <c r="K7" s="122">
        <f>I7/E7*100</f>
        <v>152.30435246805934</v>
      </c>
      <c r="L7" s="122">
        <f>I7/G7*100</f>
        <v>120.68044187833537</v>
      </c>
      <c r="M7" s="122">
        <f>I7/F7*100</f>
        <v>16.76331936912323</v>
      </c>
      <c r="N7" s="123"/>
      <c r="O7" s="123"/>
      <c r="P7" s="124">
        <f>I7-E7</f>
        <v>5878.799999999997</v>
      </c>
      <c r="Q7" s="124">
        <f>I7-G7</f>
        <v>2933.4999999999964</v>
      </c>
    </row>
    <row r="8" spans="1:17" ht="27" customHeight="1">
      <c r="A8" s="44">
        <v>110100</v>
      </c>
      <c r="B8" s="45" t="s">
        <v>105</v>
      </c>
      <c r="C8" s="46"/>
      <c r="D8" s="46"/>
      <c r="E8" s="47">
        <v>11229.7</v>
      </c>
      <c r="F8" s="47">
        <v>102041.7</v>
      </c>
      <c r="G8" s="47">
        <v>14173.7</v>
      </c>
      <c r="H8" s="48">
        <v>7264.6</v>
      </c>
      <c r="I8" s="188">
        <v>17109.3</v>
      </c>
      <c r="J8" s="48">
        <f>I8-7896.8</f>
        <v>9212.5</v>
      </c>
      <c r="K8" s="122">
        <f aca="true" t="shared" si="1" ref="K8:K38">I8/E8*100</f>
        <v>152.35758746894393</v>
      </c>
      <c r="L8" s="122">
        <f aca="true" t="shared" si="2" ref="L8:L38">I8/G8*100</f>
        <v>120.7115996528782</v>
      </c>
      <c r="M8" s="122">
        <f aca="true" t="shared" si="3" ref="M8:M38">I8/F8*100</f>
        <v>16.766968798050208</v>
      </c>
      <c r="N8" s="123"/>
      <c r="O8" s="123"/>
      <c r="P8" s="124">
        <f aca="true" t="shared" si="4" ref="P8:P38">I8-E8</f>
        <v>5879.5999999999985</v>
      </c>
      <c r="Q8" s="124">
        <f aca="true" t="shared" si="5" ref="Q8:Q38">I8-G8</f>
        <v>2935.5999999999985</v>
      </c>
    </row>
    <row r="9" spans="1:17" ht="62.25" customHeight="1">
      <c r="A9" s="44" t="s">
        <v>94</v>
      </c>
      <c r="B9" s="45" t="s">
        <v>95</v>
      </c>
      <c r="C9" s="46"/>
      <c r="D9" s="46"/>
      <c r="E9" s="47">
        <v>2.8</v>
      </c>
      <c r="F9" s="47">
        <v>16.5</v>
      </c>
      <c r="G9" s="47">
        <v>2.2</v>
      </c>
      <c r="H9" s="48">
        <v>1.5</v>
      </c>
      <c r="I9" s="188">
        <v>2.3</v>
      </c>
      <c r="J9" s="48">
        <f>I9-0.7</f>
        <v>1.5999999999999999</v>
      </c>
      <c r="K9" s="122">
        <f t="shared" si="1"/>
        <v>82.14285714285714</v>
      </c>
      <c r="L9" s="122">
        <f t="shared" si="2"/>
        <v>104.54545454545452</v>
      </c>
      <c r="M9" s="122">
        <f t="shared" si="3"/>
        <v>13.939393939393938</v>
      </c>
      <c r="N9" s="123"/>
      <c r="O9" s="123"/>
      <c r="P9" s="124">
        <f t="shared" si="4"/>
        <v>-0.5</v>
      </c>
      <c r="Q9" s="124">
        <f t="shared" si="5"/>
        <v>0.09999999999999964</v>
      </c>
    </row>
    <row r="10" spans="1:17" ht="21.75" customHeight="1">
      <c r="A10" s="44" t="s">
        <v>71</v>
      </c>
      <c r="B10" s="45" t="s">
        <v>72</v>
      </c>
      <c r="C10" s="46"/>
      <c r="D10" s="50"/>
      <c r="E10" s="47">
        <v>7.1</v>
      </c>
      <c r="F10" s="47">
        <v>60</v>
      </c>
      <c r="G10" s="51">
        <v>9</v>
      </c>
      <c r="H10" s="48">
        <v>6.3</v>
      </c>
      <c r="I10" s="188">
        <v>6.8</v>
      </c>
      <c r="J10" s="48">
        <f>I10-2.7</f>
        <v>4.1</v>
      </c>
      <c r="K10" s="122">
        <f t="shared" si="1"/>
        <v>95.77464788732395</v>
      </c>
      <c r="L10" s="122">
        <f t="shared" si="2"/>
        <v>75.55555555555556</v>
      </c>
      <c r="M10" s="122">
        <f t="shared" si="3"/>
        <v>11.333333333333332</v>
      </c>
      <c r="N10" s="123"/>
      <c r="O10" s="123"/>
      <c r="P10" s="124">
        <f t="shared" si="4"/>
        <v>-0.2999999999999998</v>
      </c>
      <c r="Q10" s="124">
        <f t="shared" si="5"/>
        <v>-2.2</v>
      </c>
    </row>
    <row r="11" spans="1:17" ht="31.5" customHeight="1">
      <c r="A11" s="270" t="s">
        <v>73</v>
      </c>
      <c r="B11" s="271"/>
      <c r="C11" s="52"/>
      <c r="D11" s="52"/>
      <c r="E11" s="53">
        <f aca="true" t="shared" si="6" ref="E11:J11">SUM(E12:E22)</f>
        <v>2351.3</v>
      </c>
      <c r="F11" s="53">
        <f t="shared" si="6"/>
        <v>15202</v>
      </c>
      <c r="G11" s="53">
        <f t="shared" si="6"/>
        <v>2488.3999999999996</v>
      </c>
      <c r="H11" s="53">
        <f t="shared" si="6"/>
        <v>1287.1000000000001</v>
      </c>
      <c r="I11" s="189">
        <f t="shared" si="6"/>
        <v>2807.5999999999995</v>
      </c>
      <c r="J11" s="53">
        <f t="shared" si="6"/>
        <v>1504.1999999999996</v>
      </c>
      <c r="K11" s="122">
        <f t="shared" si="1"/>
        <v>119.40628588440434</v>
      </c>
      <c r="L11" s="122">
        <f t="shared" si="2"/>
        <v>112.82751969136795</v>
      </c>
      <c r="M11" s="122">
        <f t="shared" si="3"/>
        <v>18.468622549664516</v>
      </c>
      <c r="N11" s="123"/>
      <c r="O11" s="123"/>
      <c r="P11" s="124">
        <f t="shared" si="4"/>
        <v>456.2999999999993</v>
      </c>
      <c r="Q11" s="124">
        <f t="shared" si="5"/>
        <v>319.1999999999998</v>
      </c>
    </row>
    <row r="12" spans="1:17" ht="47.25" customHeight="1">
      <c r="A12" s="44" t="s">
        <v>106</v>
      </c>
      <c r="B12" s="58" t="s">
        <v>107</v>
      </c>
      <c r="C12" s="56"/>
      <c r="D12" s="56"/>
      <c r="E12" s="59">
        <v>8.7</v>
      </c>
      <c r="F12" s="57">
        <v>0</v>
      </c>
      <c r="G12" s="57">
        <v>0</v>
      </c>
      <c r="H12" s="48">
        <v>0</v>
      </c>
      <c r="I12" s="190">
        <v>-0.4</v>
      </c>
      <c r="J12" s="48">
        <v>0</v>
      </c>
      <c r="K12" s="122">
        <f t="shared" si="1"/>
        <v>-4.597701149425288</v>
      </c>
      <c r="L12" s="122" t="e">
        <f t="shared" si="2"/>
        <v>#DIV/0!</v>
      </c>
      <c r="M12" s="122" t="e">
        <f t="shared" si="3"/>
        <v>#DIV/0!</v>
      </c>
      <c r="N12" s="123"/>
      <c r="O12" s="123"/>
      <c r="P12" s="124">
        <f t="shared" si="4"/>
        <v>-9.1</v>
      </c>
      <c r="Q12" s="124">
        <f t="shared" si="5"/>
        <v>-0.4</v>
      </c>
    </row>
    <row r="13" spans="1:17" ht="38.25" customHeight="1">
      <c r="A13" s="54" t="s">
        <v>74</v>
      </c>
      <c r="B13" s="55" t="s">
        <v>96</v>
      </c>
      <c r="C13" s="56"/>
      <c r="D13" s="56"/>
      <c r="E13" s="47">
        <v>22</v>
      </c>
      <c r="F13" s="47">
        <v>100</v>
      </c>
      <c r="G13" s="57">
        <v>21.7</v>
      </c>
      <c r="H13" s="48">
        <v>21.7</v>
      </c>
      <c r="I13" s="188">
        <v>168.1</v>
      </c>
      <c r="J13" s="48">
        <f>I13-'01.02(тимчас.)'!I12</f>
        <v>168.1</v>
      </c>
      <c r="K13" s="122">
        <f t="shared" si="1"/>
        <v>764.090909090909</v>
      </c>
      <c r="L13" s="122">
        <f t="shared" si="2"/>
        <v>774.6543778801844</v>
      </c>
      <c r="M13" s="122">
        <f t="shared" si="3"/>
        <v>168.1</v>
      </c>
      <c r="N13" s="123"/>
      <c r="O13" s="123"/>
      <c r="P13" s="124">
        <f t="shared" si="4"/>
        <v>146.1</v>
      </c>
      <c r="Q13" s="124">
        <f t="shared" si="5"/>
        <v>146.4</v>
      </c>
    </row>
    <row r="14" spans="1:17" ht="23.25" customHeight="1">
      <c r="A14" s="54" t="s">
        <v>75</v>
      </c>
      <c r="B14" s="55" t="s">
        <v>76</v>
      </c>
      <c r="C14" s="56"/>
      <c r="D14" s="56"/>
      <c r="E14" s="47">
        <v>2000.5</v>
      </c>
      <c r="F14" s="47">
        <v>14200</v>
      </c>
      <c r="G14" s="57">
        <v>2308.7</v>
      </c>
      <c r="H14" s="48">
        <v>1191.9</v>
      </c>
      <c r="I14" s="188">
        <v>2451.6</v>
      </c>
      <c r="J14" s="48">
        <f>I14-1200.4</f>
        <v>1251.1999999999998</v>
      </c>
      <c r="K14" s="122">
        <f t="shared" si="1"/>
        <v>122.54936265933516</v>
      </c>
      <c r="L14" s="122">
        <f t="shared" si="2"/>
        <v>106.1896305280028</v>
      </c>
      <c r="M14" s="122">
        <f t="shared" si="3"/>
        <v>17.264788732394365</v>
      </c>
      <c r="N14" s="123"/>
      <c r="O14" s="123"/>
      <c r="P14" s="124">
        <f t="shared" si="4"/>
        <v>451.0999999999999</v>
      </c>
      <c r="Q14" s="124">
        <f t="shared" si="5"/>
        <v>142.9000000000001</v>
      </c>
    </row>
    <row r="15" spans="1:17" ht="39.75" customHeight="1">
      <c r="A15" s="54" t="s">
        <v>149</v>
      </c>
      <c r="B15" s="55" t="s">
        <v>150</v>
      </c>
      <c r="C15" s="56"/>
      <c r="D15" s="56"/>
      <c r="E15" s="47"/>
      <c r="F15" s="47">
        <v>2</v>
      </c>
      <c r="G15" s="57">
        <v>0.3</v>
      </c>
      <c r="H15" s="48">
        <v>0.2</v>
      </c>
      <c r="I15" s="188">
        <v>0.9</v>
      </c>
      <c r="J15" s="48">
        <f>I15-0.8</f>
        <v>0.09999999999999998</v>
      </c>
      <c r="K15" s="122" t="e">
        <f t="shared" si="1"/>
        <v>#DIV/0!</v>
      </c>
      <c r="L15" s="122">
        <f t="shared" si="2"/>
        <v>300</v>
      </c>
      <c r="M15" s="122">
        <f t="shared" si="3"/>
        <v>45</v>
      </c>
      <c r="N15" s="123"/>
      <c r="O15" s="123"/>
      <c r="P15" s="124">
        <f t="shared" si="4"/>
        <v>0.9</v>
      </c>
      <c r="Q15" s="124">
        <f t="shared" si="5"/>
        <v>0.6000000000000001</v>
      </c>
    </row>
    <row r="16" spans="1:17" ht="34.5" customHeight="1">
      <c r="A16" s="44" t="s">
        <v>97</v>
      </c>
      <c r="B16" s="45" t="s">
        <v>98</v>
      </c>
      <c r="C16" s="46"/>
      <c r="D16" s="46"/>
      <c r="E16" s="47">
        <v>35.8</v>
      </c>
      <c r="F16" s="47">
        <v>240</v>
      </c>
      <c r="G16" s="47">
        <v>40.4</v>
      </c>
      <c r="H16" s="48">
        <v>18.7</v>
      </c>
      <c r="I16" s="188">
        <v>43.1</v>
      </c>
      <c r="J16" s="48">
        <f>I16-23.3</f>
        <v>19.8</v>
      </c>
      <c r="K16" s="122">
        <f t="shared" si="1"/>
        <v>120.39106145251397</v>
      </c>
      <c r="L16" s="122">
        <f t="shared" si="2"/>
        <v>106.68316831683168</v>
      </c>
      <c r="M16" s="122">
        <f t="shared" si="3"/>
        <v>17.958333333333336</v>
      </c>
      <c r="N16" s="123"/>
      <c r="O16" s="123"/>
      <c r="P16" s="124">
        <f t="shared" si="4"/>
        <v>7.300000000000004</v>
      </c>
      <c r="Q16" s="124">
        <f t="shared" si="5"/>
        <v>2.700000000000003</v>
      </c>
    </row>
    <row r="17" spans="1:17" ht="51" customHeight="1">
      <c r="A17" s="54" t="s">
        <v>78</v>
      </c>
      <c r="B17" s="55" t="s">
        <v>99</v>
      </c>
      <c r="C17" s="56"/>
      <c r="D17" s="56"/>
      <c r="E17" s="47">
        <v>106.9</v>
      </c>
      <c r="F17" s="47">
        <v>645</v>
      </c>
      <c r="G17" s="57">
        <v>113.7</v>
      </c>
      <c r="H17" s="48">
        <v>54</v>
      </c>
      <c r="I17" s="188">
        <v>121.5</v>
      </c>
      <c r="J17" s="48">
        <f>I17-61.3</f>
        <v>60.2</v>
      </c>
      <c r="K17" s="122">
        <f t="shared" si="1"/>
        <v>113.65762394761458</v>
      </c>
      <c r="L17" s="122">
        <f t="shared" si="2"/>
        <v>106.86015831134566</v>
      </c>
      <c r="M17" s="122">
        <f t="shared" si="3"/>
        <v>18.83720930232558</v>
      </c>
      <c r="N17" s="123"/>
      <c r="O17" s="123"/>
      <c r="P17" s="124">
        <f t="shared" si="4"/>
        <v>14.599999999999994</v>
      </c>
      <c r="Q17" s="124">
        <f t="shared" si="5"/>
        <v>7.799999999999997</v>
      </c>
    </row>
    <row r="18" spans="1:17" ht="32.25" customHeight="1">
      <c r="A18" s="44" t="s">
        <v>81</v>
      </c>
      <c r="B18" s="45" t="s">
        <v>108</v>
      </c>
      <c r="C18" s="46"/>
      <c r="D18" s="50"/>
      <c r="E18" s="47">
        <v>2.9</v>
      </c>
      <c r="F18" s="47">
        <v>15</v>
      </c>
      <c r="G18" s="51">
        <v>3.6</v>
      </c>
      <c r="H18" s="48">
        <v>0.6</v>
      </c>
      <c r="I18" s="188">
        <v>6.5</v>
      </c>
      <c r="J18" s="48">
        <f>I18-3.3</f>
        <v>3.2</v>
      </c>
      <c r="K18" s="122">
        <f t="shared" si="1"/>
        <v>224.1379310344828</v>
      </c>
      <c r="L18" s="122">
        <f t="shared" si="2"/>
        <v>180.55555555555557</v>
      </c>
      <c r="M18" s="122">
        <f t="shared" si="3"/>
        <v>43.333333333333336</v>
      </c>
      <c r="N18" s="123"/>
      <c r="O18" s="123"/>
      <c r="P18" s="124">
        <f t="shared" si="4"/>
        <v>3.6</v>
      </c>
      <c r="Q18" s="124">
        <f t="shared" si="5"/>
        <v>2.9</v>
      </c>
    </row>
    <row r="19" spans="1:17" ht="39" customHeight="1">
      <c r="A19" s="7" t="s">
        <v>79</v>
      </c>
      <c r="B19" s="58" t="s">
        <v>80</v>
      </c>
      <c r="C19" s="56"/>
      <c r="D19" s="56"/>
      <c r="E19" s="59">
        <v>124</v>
      </c>
      <c r="F19" s="57">
        <v>0</v>
      </c>
      <c r="G19" s="57">
        <v>0</v>
      </c>
      <c r="H19" s="48">
        <v>0</v>
      </c>
      <c r="I19" s="190">
        <v>16.2</v>
      </c>
      <c r="J19" s="48">
        <f>I19-14.7</f>
        <v>1.5</v>
      </c>
      <c r="K19" s="122">
        <f t="shared" si="1"/>
        <v>13.064516129032258</v>
      </c>
      <c r="L19" s="122" t="e">
        <f t="shared" si="2"/>
        <v>#DIV/0!</v>
      </c>
      <c r="M19" s="122" t="e">
        <f t="shared" si="3"/>
        <v>#DIV/0!</v>
      </c>
      <c r="N19" s="123"/>
      <c r="O19" s="123"/>
      <c r="P19" s="124">
        <f t="shared" si="4"/>
        <v>-107.8</v>
      </c>
      <c r="Q19" s="124">
        <f t="shared" si="5"/>
        <v>16.2</v>
      </c>
    </row>
    <row r="20" spans="1:17" ht="31.5" customHeight="1">
      <c r="A20" s="44" t="s">
        <v>109</v>
      </c>
      <c r="B20" s="45" t="s">
        <v>110</v>
      </c>
      <c r="C20" s="46"/>
      <c r="D20" s="50"/>
      <c r="E20" s="47">
        <v>0.3</v>
      </c>
      <c r="F20" s="47">
        <v>0</v>
      </c>
      <c r="G20" s="51">
        <v>0</v>
      </c>
      <c r="H20" s="48">
        <v>0</v>
      </c>
      <c r="I20" s="188">
        <v>0</v>
      </c>
      <c r="J20" s="48">
        <f>I200</f>
        <v>0</v>
      </c>
      <c r="K20" s="122">
        <f t="shared" si="1"/>
        <v>0</v>
      </c>
      <c r="L20" s="122" t="e">
        <f t="shared" si="2"/>
        <v>#DIV/0!</v>
      </c>
      <c r="M20" s="122" t="e">
        <f t="shared" si="3"/>
        <v>#DIV/0!</v>
      </c>
      <c r="N20" s="123"/>
      <c r="O20" s="123"/>
      <c r="P20" s="124">
        <f t="shared" si="4"/>
        <v>-0.3</v>
      </c>
      <c r="Q20" s="124">
        <f t="shared" si="5"/>
        <v>0</v>
      </c>
    </row>
    <row r="21" spans="1:17" ht="31.5" customHeight="1">
      <c r="A21" s="54" t="s">
        <v>152</v>
      </c>
      <c r="B21" s="170"/>
      <c r="C21" s="165"/>
      <c r="D21" s="166"/>
      <c r="E21" s="47"/>
      <c r="F21" s="47"/>
      <c r="G21" s="171"/>
      <c r="H21" s="48"/>
      <c r="I21" s="188">
        <v>0.1</v>
      </c>
      <c r="J21" s="48">
        <f>I21-0</f>
        <v>0.1</v>
      </c>
      <c r="K21" s="122" t="e">
        <f t="shared" si="1"/>
        <v>#DIV/0!</v>
      </c>
      <c r="L21" s="122" t="e">
        <f t="shared" si="2"/>
        <v>#DIV/0!</v>
      </c>
      <c r="M21" s="122" t="e">
        <f t="shared" si="3"/>
        <v>#DIV/0!</v>
      </c>
      <c r="N21" s="123"/>
      <c r="O21" s="123"/>
      <c r="P21" s="124">
        <f t="shared" si="4"/>
        <v>0.1</v>
      </c>
      <c r="Q21" s="124">
        <f t="shared" si="5"/>
        <v>0.1</v>
      </c>
    </row>
    <row r="22" spans="1:17" ht="32.25" customHeight="1">
      <c r="A22" s="54" t="s">
        <v>77</v>
      </c>
      <c r="B22" s="55" t="s">
        <v>111</v>
      </c>
      <c r="C22" s="56"/>
      <c r="D22" s="56"/>
      <c r="E22" s="47">
        <v>50.2</v>
      </c>
      <c r="F22" s="47">
        <v>0</v>
      </c>
      <c r="G22" s="57">
        <v>0</v>
      </c>
      <c r="H22" s="48">
        <v>0</v>
      </c>
      <c r="I22" s="188">
        <v>0</v>
      </c>
      <c r="J22" s="48">
        <v>0</v>
      </c>
      <c r="K22" s="122">
        <f t="shared" si="1"/>
        <v>0</v>
      </c>
      <c r="L22" s="122" t="e">
        <f t="shared" si="2"/>
        <v>#DIV/0!</v>
      </c>
      <c r="M22" s="122" t="e">
        <f t="shared" si="3"/>
        <v>#DIV/0!</v>
      </c>
      <c r="N22" s="123"/>
      <c r="O22" s="123"/>
      <c r="P22" s="124">
        <f t="shared" si="4"/>
        <v>-50.2</v>
      </c>
      <c r="Q22" s="124">
        <f t="shared" si="5"/>
        <v>0</v>
      </c>
    </row>
    <row r="23" spans="1:17" ht="33.75" customHeight="1">
      <c r="A23" s="275" t="s">
        <v>82</v>
      </c>
      <c r="B23" s="276"/>
      <c r="C23" s="60"/>
      <c r="D23" s="60"/>
      <c r="E23" s="61">
        <f aca="true" t="shared" si="7" ref="E23:J23">E7+E11</f>
        <v>13590.900000000001</v>
      </c>
      <c r="F23" s="61">
        <f t="shared" si="7"/>
        <v>117320.2</v>
      </c>
      <c r="G23" s="61">
        <f t="shared" si="7"/>
        <v>16673.300000000003</v>
      </c>
      <c r="H23" s="61">
        <f t="shared" si="7"/>
        <v>8559.5</v>
      </c>
      <c r="I23" s="191">
        <f t="shared" si="7"/>
        <v>19925.999999999996</v>
      </c>
      <c r="J23" s="62">
        <f t="shared" si="7"/>
        <v>10722.4</v>
      </c>
      <c r="K23" s="122">
        <f t="shared" si="1"/>
        <v>146.6128070988676</v>
      </c>
      <c r="L23" s="122">
        <f t="shared" si="2"/>
        <v>119.5084356426142</v>
      </c>
      <c r="M23" s="122">
        <f t="shared" si="3"/>
        <v>16.984287445810693</v>
      </c>
      <c r="N23" s="123"/>
      <c r="O23" s="123"/>
      <c r="P23" s="124">
        <f t="shared" si="4"/>
        <v>6335.099999999995</v>
      </c>
      <c r="Q23" s="124">
        <f t="shared" si="5"/>
        <v>3252.6999999999935</v>
      </c>
    </row>
    <row r="24" spans="1:17" ht="39" customHeight="1">
      <c r="A24" s="63">
        <v>410000</v>
      </c>
      <c r="B24" s="63" t="s">
        <v>83</v>
      </c>
      <c r="C24" s="64"/>
      <c r="D24" s="65"/>
      <c r="E24" s="66">
        <v>3456.4</v>
      </c>
      <c r="F24" s="66">
        <v>33836.2</v>
      </c>
      <c r="G24" s="67">
        <v>4631.2</v>
      </c>
      <c r="H24" s="48">
        <v>2316.7</v>
      </c>
      <c r="I24" s="192">
        <v>4624</v>
      </c>
      <c r="J24" s="48">
        <f>I24-2128.3</f>
        <v>2495.7</v>
      </c>
      <c r="K24" s="122">
        <f t="shared" si="1"/>
        <v>133.78081240597152</v>
      </c>
      <c r="L24" s="122">
        <f t="shared" si="2"/>
        <v>99.84453273449645</v>
      </c>
      <c r="M24" s="122">
        <f t="shared" si="3"/>
        <v>13.665837180298023</v>
      </c>
      <c r="N24" s="123"/>
      <c r="O24" s="123"/>
      <c r="P24" s="124">
        <f t="shared" si="4"/>
        <v>1167.6</v>
      </c>
      <c r="Q24" s="124">
        <f t="shared" si="5"/>
        <v>-7.199999999999818</v>
      </c>
    </row>
    <row r="25" spans="1:17" ht="54" customHeight="1">
      <c r="A25" s="277" t="s">
        <v>84</v>
      </c>
      <c r="B25" s="278"/>
      <c r="C25" s="68"/>
      <c r="D25" s="69"/>
      <c r="E25" s="70">
        <f aca="true" t="shared" si="8" ref="E25:J25">E23+E24</f>
        <v>17047.300000000003</v>
      </c>
      <c r="F25" s="70">
        <f t="shared" si="8"/>
        <v>151156.4</v>
      </c>
      <c r="G25" s="70">
        <f t="shared" si="8"/>
        <v>21304.500000000004</v>
      </c>
      <c r="H25" s="71">
        <f t="shared" si="8"/>
        <v>10876.2</v>
      </c>
      <c r="I25" s="193">
        <f t="shared" si="8"/>
        <v>24549.999999999996</v>
      </c>
      <c r="J25" s="71">
        <f t="shared" si="8"/>
        <v>13218.099999999999</v>
      </c>
      <c r="K25" s="122">
        <f t="shared" si="1"/>
        <v>144.011075067606</v>
      </c>
      <c r="L25" s="122">
        <f t="shared" si="2"/>
        <v>115.233870778474</v>
      </c>
      <c r="M25" s="122">
        <f t="shared" si="3"/>
        <v>16.241455869549686</v>
      </c>
      <c r="N25" s="123"/>
      <c r="O25" s="123"/>
      <c r="P25" s="124">
        <f t="shared" si="4"/>
        <v>7502.699999999993</v>
      </c>
      <c r="Q25" s="124">
        <f t="shared" si="5"/>
        <v>3245.4999999999927</v>
      </c>
    </row>
    <row r="26" spans="1:17" ht="28.5" customHeight="1">
      <c r="A26" s="279" t="s">
        <v>85</v>
      </c>
      <c r="B26" s="280"/>
      <c r="C26" s="72"/>
      <c r="D26" s="73"/>
      <c r="E26" s="74">
        <f aca="true" t="shared" si="9" ref="E26:J26">SUM(E27:E34)</f>
        <v>1017.3000000000001</v>
      </c>
      <c r="F26" s="74">
        <f t="shared" si="9"/>
        <v>5616.7</v>
      </c>
      <c r="G26" s="74">
        <f t="shared" si="9"/>
        <v>938.7</v>
      </c>
      <c r="H26" s="74">
        <f t="shared" si="9"/>
        <v>505.4</v>
      </c>
      <c r="I26" s="194">
        <f t="shared" si="9"/>
        <v>1191.8999999999999</v>
      </c>
      <c r="J26" s="74">
        <f t="shared" si="9"/>
        <v>602.5999999999999</v>
      </c>
      <c r="K26" s="122">
        <f t="shared" si="1"/>
        <v>117.16307873783542</v>
      </c>
      <c r="L26" s="122">
        <f t="shared" si="2"/>
        <v>126.9734739533397</v>
      </c>
      <c r="M26" s="122">
        <f t="shared" si="3"/>
        <v>21.220645574803708</v>
      </c>
      <c r="N26" s="123"/>
      <c r="O26" s="123"/>
      <c r="P26" s="124">
        <f t="shared" si="4"/>
        <v>174.5999999999998</v>
      </c>
      <c r="Q26" s="124">
        <f t="shared" si="5"/>
        <v>253.19999999999982</v>
      </c>
    </row>
    <row r="27" spans="1:17" ht="73.5" customHeight="1">
      <c r="A27" s="75" t="s">
        <v>112</v>
      </c>
      <c r="B27" s="76" t="s">
        <v>113</v>
      </c>
      <c r="C27" s="64"/>
      <c r="D27" s="77"/>
      <c r="E27" s="67">
        <v>79.6</v>
      </c>
      <c r="F27" s="67">
        <v>24</v>
      </c>
      <c r="G27" s="66">
        <v>3.3</v>
      </c>
      <c r="H27" s="174">
        <v>2.7</v>
      </c>
      <c r="I27" s="192">
        <v>31</v>
      </c>
      <c r="J27" s="174">
        <f>I27-14</f>
        <v>17</v>
      </c>
      <c r="K27" s="122">
        <f t="shared" si="1"/>
        <v>38.94472361809046</v>
      </c>
      <c r="L27" s="122">
        <f t="shared" si="2"/>
        <v>939.3939393939395</v>
      </c>
      <c r="M27" s="122">
        <f t="shared" si="3"/>
        <v>129.16666666666669</v>
      </c>
      <c r="N27" s="123"/>
      <c r="O27" s="123"/>
      <c r="P27" s="124">
        <f t="shared" si="4"/>
        <v>-48.599999999999994</v>
      </c>
      <c r="Q27" s="124">
        <f t="shared" si="5"/>
        <v>27.7</v>
      </c>
    </row>
    <row r="28" spans="1:17" ht="98.25" customHeight="1">
      <c r="A28" s="100">
        <v>180415</v>
      </c>
      <c r="B28" s="76" t="s">
        <v>101</v>
      </c>
      <c r="C28" s="64"/>
      <c r="D28" s="65"/>
      <c r="E28" s="67">
        <v>0</v>
      </c>
      <c r="F28" s="67">
        <v>24</v>
      </c>
      <c r="G28" s="79">
        <v>4.3</v>
      </c>
      <c r="H28" s="174">
        <v>2</v>
      </c>
      <c r="I28" s="192">
        <v>10.1</v>
      </c>
      <c r="J28" s="174">
        <f>I28-7.9</f>
        <v>2.1999999999999993</v>
      </c>
      <c r="K28" s="122" t="e">
        <f t="shared" si="1"/>
        <v>#DIV/0!</v>
      </c>
      <c r="L28" s="122">
        <f t="shared" si="2"/>
        <v>234.88372093023258</v>
      </c>
      <c r="M28" s="122">
        <f t="shared" si="3"/>
        <v>42.083333333333336</v>
      </c>
      <c r="N28" s="123"/>
      <c r="O28" s="123"/>
      <c r="P28" s="124">
        <f t="shared" si="4"/>
        <v>10.1</v>
      </c>
      <c r="Q28" s="124">
        <f t="shared" si="5"/>
        <v>5.8</v>
      </c>
    </row>
    <row r="29" spans="1:17" ht="18.75" customHeight="1">
      <c r="A29" s="44" t="s">
        <v>100</v>
      </c>
      <c r="B29" s="45" t="s">
        <v>70</v>
      </c>
      <c r="C29" s="46"/>
      <c r="D29" s="50"/>
      <c r="E29" s="47">
        <v>282.6</v>
      </c>
      <c r="F29" s="47">
        <v>1800</v>
      </c>
      <c r="G29" s="51">
        <v>286.3</v>
      </c>
      <c r="H29" s="174">
        <v>153.3</v>
      </c>
      <c r="I29" s="188">
        <v>261.9</v>
      </c>
      <c r="J29" s="174">
        <f>I29-120.8</f>
        <v>141.09999999999997</v>
      </c>
      <c r="K29" s="122">
        <f t="shared" si="1"/>
        <v>92.67515923566877</v>
      </c>
      <c r="L29" s="122">
        <f t="shared" si="2"/>
        <v>91.47747118407264</v>
      </c>
      <c r="M29" s="122">
        <f t="shared" si="3"/>
        <v>14.549999999999999</v>
      </c>
      <c r="N29" s="123"/>
      <c r="O29" s="123"/>
      <c r="P29" s="124">
        <f t="shared" si="4"/>
        <v>-20.700000000000045</v>
      </c>
      <c r="Q29" s="124">
        <f t="shared" si="5"/>
        <v>-24.400000000000034</v>
      </c>
    </row>
    <row r="30" spans="1:17" ht="36" customHeight="1">
      <c r="A30" s="100">
        <v>250000</v>
      </c>
      <c r="B30" s="78" t="s">
        <v>86</v>
      </c>
      <c r="C30" s="64"/>
      <c r="D30" s="65"/>
      <c r="E30" s="67">
        <v>636.7</v>
      </c>
      <c r="F30" s="67">
        <v>3568.7</v>
      </c>
      <c r="G30" s="67">
        <v>594.8</v>
      </c>
      <c r="H30" s="174">
        <v>297.4</v>
      </c>
      <c r="I30" s="192">
        <f>113+722.5</f>
        <v>835.5</v>
      </c>
      <c r="J30" s="174">
        <f>I30-442.7</f>
        <v>392.8</v>
      </c>
      <c r="K30" s="122">
        <f t="shared" si="1"/>
        <v>131.22349615203393</v>
      </c>
      <c r="L30" s="122">
        <f t="shared" si="2"/>
        <v>140.46738399462004</v>
      </c>
      <c r="M30" s="122">
        <f t="shared" si="3"/>
        <v>23.41188668142461</v>
      </c>
      <c r="N30" s="123"/>
      <c r="O30" s="123"/>
      <c r="P30" s="124">
        <f t="shared" si="4"/>
        <v>198.79999999999995</v>
      </c>
      <c r="Q30" s="124">
        <f t="shared" si="5"/>
        <v>240.70000000000005</v>
      </c>
    </row>
    <row r="31" spans="1:17" ht="50.25" customHeight="1">
      <c r="A31" s="100">
        <v>310300</v>
      </c>
      <c r="B31" s="78" t="s">
        <v>114</v>
      </c>
      <c r="C31" s="64"/>
      <c r="D31" s="65"/>
      <c r="E31" s="67">
        <v>0</v>
      </c>
      <c r="F31" s="67">
        <v>0</v>
      </c>
      <c r="G31" s="101">
        <v>0</v>
      </c>
      <c r="H31" s="174">
        <v>0</v>
      </c>
      <c r="I31" s="192">
        <v>0.1</v>
      </c>
      <c r="J31" s="174">
        <v>0</v>
      </c>
      <c r="K31" s="122" t="e">
        <f t="shared" si="1"/>
        <v>#DIV/0!</v>
      </c>
      <c r="L31" s="122" t="e">
        <f t="shared" si="2"/>
        <v>#DIV/0!</v>
      </c>
      <c r="M31" s="122" t="e">
        <f t="shared" si="3"/>
        <v>#DIV/0!</v>
      </c>
      <c r="N31" s="123"/>
      <c r="O31" s="123"/>
      <c r="P31" s="124">
        <f t="shared" si="4"/>
        <v>0.1</v>
      </c>
      <c r="Q31" s="124">
        <f t="shared" si="5"/>
        <v>0.1</v>
      </c>
    </row>
    <row r="32" spans="1:17" ht="24" customHeight="1">
      <c r="A32" s="100">
        <v>190100</v>
      </c>
      <c r="B32" s="76" t="s">
        <v>102</v>
      </c>
      <c r="C32" s="64"/>
      <c r="D32" s="65"/>
      <c r="E32" s="67">
        <v>0</v>
      </c>
      <c r="F32" s="67">
        <v>200</v>
      </c>
      <c r="G32" s="79">
        <v>50</v>
      </c>
      <c r="H32" s="174">
        <v>50</v>
      </c>
      <c r="I32" s="192">
        <v>48.1</v>
      </c>
      <c r="J32" s="174">
        <f>I32-0.1</f>
        <v>48</v>
      </c>
      <c r="K32" s="122" t="e">
        <f t="shared" si="1"/>
        <v>#DIV/0!</v>
      </c>
      <c r="L32" s="122">
        <f t="shared" si="2"/>
        <v>96.2</v>
      </c>
      <c r="M32" s="122">
        <f t="shared" si="3"/>
        <v>24.05</v>
      </c>
      <c r="N32" s="123"/>
      <c r="O32" s="123"/>
      <c r="P32" s="124">
        <f t="shared" si="4"/>
        <v>48.1</v>
      </c>
      <c r="Q32" s="124">
        <f t="shared" si="5"/>
        <v>-1.8999999999999986</v>
      </c>
    </row>
    <row r="33" spans="1:17" ht="48" customHeight="1">
      <c r="A33" s="100">
        <v>190500</v>
      </c>
      <c r="B33" s="76" t="s">
        <v>87</v>
      </c>
      <c r="C33" s="64"/>
      <c r="D33" s="65"/>
      <c r="E33" s="67">
        <v>16.1</v>
      </c>
      <c r="F33" s="67">
        <v>0</v>
      </c>
      <c r="G33" s="79">
        <v>0</v>
      </c>
      <c r="H33" s="174">
        <v>0</v>
      </c>
      <c r="I33" s="192">
        <v>0</v>
      </c>
      <c r="J33" s="174">
        <v>0</v>
      </c>
      <c r="K33" s="122">
        <f t="shared" si="1"/>
        <v>0</v>
      </c>
      <c r="L33" s="122" t="e">
        <f t="shared" si="2"/>
        <v>#DIV/0!</v>
      </c>
      <c r="M33" s="122" t="e">
        <f t="shared" si="3"/>
        <v>#DIV/0!</v>
      </c>
      <c r="N33" s="123"/>
      <c r="O33" s="123"/>
      <c r="P33" s="124">
        <f t="shared" si="4"/>
        <v>-16.1</v>
      </c>
      <c r="Q33" s="124">
        <f t="shared" si="5"/>
        <v>0</v>
      </c>
    </row>
    <row r="34" spans="1:17" ht="24.75" customHeight="1">
      <c r="A34" s="100">
        <v>501100</v>
      </c>
      <c r="B34" s="76" t="s">
        <v>88</v>
      </c>
      <c r="C34" s="64"/>
      <c r="D34" s="65"/>
      <c r="E34" s="67">
        <v>2.3</v>
      </c>
      <c r="F34" s="66">
        <v>0</v>
      </c>
      <c r="G34" s="66">
        <v>0</v>
      </c>
      <c r="H34" s="174">
        <v>0</v>
      </c>
      <c r="I34" s="192">
        <v>5.2</v>
      </c>
      <c r="J34" s="174">
        <f>I34-3.7</f>
        <v>1.5</v>
      </c>
      <c r="K34" s="122">
        <f t="shared" si="1"/>
        <v>226.08695652173915</v>
      </c>
      <c r="L34" s="122" t="e">
        <f t="shared" si="2"/>
        <v>#DIV/0!</v>
      </c>
      <c r="M34" s="122" t="e">
        <f t="shared" si="3"/>
        <v>#DIV/0!</v>
      </c>
      <c r="N34" s="123"/>
      <c r="O34" s="123"/>
      <c r="P34" s="124">
        <f t="shared" si="4"/>
        <v>2.9000000000000004</v>
      </c>
      <c r="Q34" s="124">
        <f t="shared" si="5"/>
        <v>5.2</v>
      </c>
    </row>
    <row r="35" spans="1:17" ht="31.5" customHeight="1">
      <c r="A35" s="175" t="s">
        <v>151</v>
      </c>
      <c r="B35" s="81" t="s">
        <v>89</v>
      </c>
      <c r="C35" s="64"/>
      <c r="D35" s="65"/>
      <c r="E35" s="84">
        <v>0</v>
      </c>
      <c r="F35" s="82">
        <v>1641.4</v>
      </c>
      <c r="G35" s="82">
        <v>225.6</v>
      </c>
      <c r="H35" s="83">
        <v>121</v>
      </c>
      <c r="I35" s="194">
        <v>0</v>
      </c>
      <c r="J35" s="83">
        <v>0</v>
      </c>
      <c r="K35" s="122" t="e">
        <f t="shared" si="1"/>
        <v>#DIV/0!</v>
      </c>
      <c r="L35" s="122">
        <f t="shared" si="2"/>
        <v>0</v>
      </c>
      <c r="M35" s="122">
        <f t="shared" si="3"/>
        <v>0</v>
      </c>
      <c r="N35" s="123"/>
      <c r="O35" s="123"/>
      <c r="P35" s="124">
        <f t="shared" si="4"/>
        <v>0</v>
      </c>
      <c r="Q35" s="124">
        <f t="shared" si="5"/>
        <v>-225.6</v>
      </c>
    </row>
    <row r="36" spans="1:17" ht="2.25" customHeight="1" hidden="1">
      <c r="A36" s="176">
        <v>430100</v>
      </c>
      <c r="B36" s="85" t="s">
        <v>90</v>
      </c>
      <c r="C36" s="86"/>
      <c r="D36" s="77"/>
      <c r="E36" s="82"/>
      <c r="F36" s="82"/>
      <c r="G36" s="87"/>
      <c r="H36" s="83"/>
      <c r="I36" s="194">
        <v>0</v>
      </c>
      <c r="J36" s="83"/>
      <c r="K36" s="122" t="e">
        <f t="shared" si="1"/>
        <v>#DIV/0!</v>
      </c>
      <c r="L36" s="122" t="e">
        <f t="shared" si="2"/>
        <v>#DIV/0!</v>
      </c>
      <c r="M36" s="122" t="e">
        <f t="shared" si="3"/>
        <v>#DIV/0!</v>
      </c>
      <c r="N36" s="123"/>
      <c r="O36" s="123"/>
      <c r="P36" s="124">
        <f t="shared" si="4"/>
        <v>0</v>
      </c>
      <c r="Q36" s="124">
        <f t="shared" si="5"/>
        <v>0</v>
      </c>
    </row>
    <row r="37" spans="1:20" ht="40.5" customHeight="1">
      <c r="A37" s="260" t="s">
        <v>91</v>
      </c>
      <c r="B37" s="261"/>
      <c r="C37" s="86"/>
      <c r="D37" s="77"/>
      <c r="E37" s="88">
        <f aca="true" t="shared" si="10" ref="E37:J37">E26+E35+E36</f>
        <v>1017.3000000000001</v>
      </c>
      <c r="F37" s="88">
        <f t="shared" si="10"/>
        <v>7258.1</v>
      </c>
      <c r="G37" s="88">
        <f t="shared" si="10"/>
        <v>1164.3</v>
      </c>
      <c r="H37" s="89">
        <f t="shared" si="10"/>
        <v>626.4</v>
      </c>
      <c r="I37" s="195">
        <f t="shared" si="10"/>
        <v>1191.8999999999999</v>
      </c>
      <c r="J37" s="89">
        <f t="shared" si="10"/>
        <v>602.5999999999999</v>
      </c>
      <c r="K37" s="122">
        <f t="shared" si="1"/>
        <v>117.16307873783542</v>
      </c>
      <c r="L37" s="122">
        <f t="shared" si="2"/>
        <v>102.37052306106673</v>
      </c>
      <c r="M37" s="122">
        <f t="shared" si="3"/>
        <v>16.4216530496962</v>
      </c>
      <c r="N37" s="123"/>
      <c r="O37" s="123"/>
      <c r="P37" s="124">
        <f t="shared" si="4"/>
        <v>174.5999999999998</v>
      </c>
      <c r="Q37" s="124">
        <f t="shared" si="5"/>
        <v>27.59999999999991</v>
      </c>
      <c r="T37" s="49"/>
    </row>
    <row r="38" spans="1:17" ht="57" customHeight="1">
      <c r="A38" s="295"/>
      <c r="B38" s="296"/>
      <c r="C38" s="90"/>
      <c r="D38" s="91"/>
      <c r="E38" s="172">
        <f aca="true" t="shared" si="11" ref="E38:J38">E25+E37</f>
        <v>18064.600000000002</v>
      </c>
      <c r="F38" s="172">
        <f t="shared" si="11"/>
        <v>158414.5</v>
      </c>
      <c r="G38" s="172">
        <f t="shared" si="11"/>
        <v>22468.800000000003</v>
      </c>
      <c r="H38" s="172">
        <f t="shared" si="11"/>
        <v>11502.6</v>
      </c>
      <c r="I38" s="196">
        <f t="shared" si="11"/>
        <v>25741.899999999998</v>
      </c>
      <c r="J38" s="173">
        <f t="shared" si="11"/>
        <v>13820.699999999999</v>
      </c>
      <c r="K38" s="122">
        <f t="shared" si="1"/>
        <v>142.4991419682694</v>
      </c>
      <c r="L38" s="122">
        <f t="shared" si="2"/>
        <v>114.5673111158584</v>
      </c>
      <c r="M38" s="122">
        <f t="shared" si="3"/>
        <v>16.249711989748413</v>
      </c>
      <c r="N38" s="123"/>
      <c r="O38" s="123"/>
      <c r="P38" s="124">
        <f t="shared" si="4"/>
        <v>7677.299999999996</v>
      </c>
      <c r="Q38" s="124">
        <f t="shared" si="5"/>
        <v>3273.099999999995</v>
      </c>
    </row>
    <row r="39" spans="1:13" ht="24" customHeight="1">
      <c r="A39" s="40"/>
      <c r="B39" s="92"/>
      <c r="C39" s="93"/>
      <c r="D39" s="92"/>
      <c r="E39" s="92"/>
      <c r="F39" s="92"/>
      <c r="G39" s="93"/>
      <c r="H39" s="93"/>
      <c r="I39" s="186"/>
      <c r="J39" s="2"/>
      <c r="K39" s="94"/>
      <c r="L39" s="94"/>
      <c r="M39" s="94"/>
    </row>
    <row r="40" spans="1:13" ht="24" customHeight="1">
      <c r="A40" s="95"/>
      <c r="B40" s="95"/>
      <c r="C40" s="95"/>
      <c r="D40" s="95"/>
      <c r="E40" s="95"/>
      <c r="F40" s="95"/>
      <c r="G40" s="95"/>
      <c r="H40" s="96"/>
      <c r="I40" s="197"/>
      <c r="J40" s="97"/>
      <c r="K40" s="98"/>
      <c r="L40" s="98"/>
      <c r="M40" s="98"/>
    </row>
    <row r="41" spans="1:13" ht="32.25" customHeight="1" hidden="1">
      <c r="A41" s="274" t="s">
        <v>92</v>
      </c>
      <c r="B41" s="274"/>
      <c r="C41" s="274"/>
      <c r="D41" s="274"/>
      <c r="E41" s="274"/>
      <c r="F41" s="274"/>
      <c r="G41" s="274"/>
      <c r="H41" s="29"/>
      <c r="K41" s="38" t="s">
        <v>93</v>
      </c>
      <c r="L41" s="38" t="s">
        <v>93</v>
      </c>
      <c r="M41" s="38"/>
    </row>
    <row r="42" spans="2:10" ht="15.75">
      <c r="B42" s="38"/>
      <c r="C42" s="38"/>
      <c r="D42" s="38"/>
      <c r="E42" s="38"/>
      <c r="F42" s="38"/>
      <c r="G42" s="38"/>
      <c r="H42" s="38"/>
      <c r="I42" s="198"/>
      <c r="J42" s="99"/>
    </row>
    <row r="43" spans="2:8" ht="15.75">
      <c r="B43" s="38"/>
      <c r="C43" s="38"/>
      <c r="D43" s="38"/>
      <c r="E43" s="38"/>
      <c r="F43" s="38"/>
      <c r="G43" s="38"/>
      <c r="H43" s="38"/>
    </row>
    <row r="44" spans="2:8" ht="15.75">
      <c r="B44" s="38"/>
      <c r="C44" s="38"/>
      <c r="D44" s="38"/>
      <c r="E44" s="38"/>
      <c r="F44" s="38"/>
      <c r="G44" s="38"/>
      <c r="H44" s="38"/>
    </row>
    <row r="45" spans="2:8" ht="15.75">
      <c r="B45" s="38"/>
      <c r="C45" s="38"/>
      <c r="D45" s="38"/>
      <c r="E45" s="38"/>
      <c r="F45" s="38"/>
      <c r="G45" s="38"/>
      <c r="H45" s="38"/>
    </row>
    <row r="46" spans="2:8" ht="15.75">
      <c r="B46" s="38"/>
      <c r="C46" s="38"/>
      <c r="D46" s="38"/>
      <c r="E46" s="38"/>
      <c r="F46" s="38"/>
      <c r="G46" s="38"/>
      <c r="H46" s="38"/>
    </row>
    <row r="47" spans="2:8" ht="15.75">
      <c r="B47" s="38"/>
      <c r="C47" s="38"/>
      <c r="D47" s="38"/>
      <c r="E47" s="38"/>
      <c r="F47" s="38"/>
      <c r="G47" s="38"/>
      <c r="H47" s="38"/>
    </row>
    <row r="48" spans="2:8" ht="15.75">
      <c r="B48" s="38"/>
      <c r="C48" s="38"/>
      <c r="D48" s="38"/>
      <c r="E48" s="38"/>
      <c r="F48" s="38"/>
      <c r="G48" s="38"/>
      <c r="H48" s="38"/>
    </row>
    <row r="49" spans="2:8" ht="15.75">
      <c r="B49" s="38"/>
      <c r="C49" s="38"/>
      <c r="D49" s="38"/>
      <c r="E49" s="38"/>
      <c r="F49" s="38"/>
      <c r="G49" s="38"/>
      <c r="H49" s="38"/>
    </row>
    <row r="50" spans="2:8" ht="15.75">
      <c r="B50" s="38"/>
      <c r="C50" s="38"/>
      <c r="D50" s="38"/>
      <c r="E50" s="38"/>
      <c r="F50" s="38"/>
      <c r="G50" s="38"/>
      <c r="H50" s="38"/>
    </row>
    <row r="51" spans="2:8" ht="15.75">
      <c r="B51" s="38"/>
      <c r="C51" s="38"/>
      <c r="D51" s="38"/>
      <c r="E51" s="38"/>
      <c r="F51" s="38"/>
      <c r="G51" s="38"/>
      <c r="H51" s="38"/>
    </row>
    <row r="52" spans="2:8" ht="15.75">
      <c r="B52" s="38"/>
      <c r="C52" s="38"/>
      <c r="D52" s="38"/>
      <c r="E52" s="38"/>
      <c r="F52" s="38"/>
      <c r="G52" s="38"/>
      <c r="H52" s="38"/>
    </row>
    <row r="53" spans="2:8" ht="15.75">
      <c r="B53" s="38"/>
      <c r="C53" s="38"/>
      <c r="D53" s="38"/>
      <c r="E53" s="38"/>
      <c r="F53" s="38"/>
      <c r="G53" s="38"/>
      <c r="H53" s="38"/>
    </row>
    <row r="54" spans="2:8" ht="15.75">
      <c r="B54" s="38"/>
      <c r="C54" s="38"/>
      <c r="D54" s="38"/>
      <c r="E54" s="38"/>
      <c r="F54" s="38"/>
      <c r="G54" s="38"/>
      <c r="H54" s="38"/>
    </row>
    <row r="55" spans="2:8" ht="15.75">
      <c r="B55" s="38"/>
      <c r="C55" s="38"/>
      <c r="D55" s="38"/>
      <c r="E55" s="38"/>
      <c r="F55" s="38"/>
      <c r="G55" s="38"/>
      <c r="H55" s="38"/>
    </row>
    <row r="56" spans="2:8" ht="15.75">
      <c r="B56" s="38"/>
      <c r="C56" s="38"/>
      <c r="D56" s="38"/>
      <c r="E56" s="38"/>
      <c r="F56" s="38"/>
      <c r="G56" s="38"/>
      <c r="H56" s="38"/>
    </row>
    <row r="57" spans="2:8" ht="15.75">
      <c r="B57" s="38"/>
      <c r="C57" s="38"/>
      <c r="D57" s="38"/>
      <c r="E57" s="38"/>
      <c r="F57" s="38"/>
      <c r="G57" s="38"/>
      <c r="H57" s="38"/>
    </row>
    <row r="58" spans="2:8" ht="15.75">
      <c r="B58" s="38"/>
      <c r="C58" s="38"/>
      <c r="D58" s="38"/>
      <c r="E58" s="38"/>
      <c r="F58" s="38"/>
      <c r="G58" s="38"/>
      <c r="H58" s="38"/>
    </row>
    <row r="59" spans="2:8" ht="15.75">
      <c r="B59" s="38"/>
      <c r="C59" s="38"/>
      <c r="D59" s="38"/>
      <c r="E59" s="38"/>
      <c r="F59" s="38"/>
      <c r="G59" s="38"/>
      <c r="H59" s="38"/>
    </row>
    <row r="60" spans="2:8" ht="15.75">
      <c r="B60" s="38"/>
      <c r="C60" s="38"/>
      <c r="D60" s="38"/>
      <c r="E60" s="38"/>
      <c r="F60" s="38"/>
      <c r="G60" s="38"/>
      <c r="H60" s="38"/>
    </row>
    <row r="61" spans="2:8" ht="15.75">
      <c r="B61" s="38"/>
      <c r="C61" s="38"/>
      <c r="D61" s="38"/>
      <c r="E61" s="38"/>
      <c r="F61" s="38"/>
      <c r="G61" s="38"/>
      <c r="H61" s="38"/>
    </row>
  </sheetData>
  <mergeCells count="17">
    <mergeCell ref="A26:B26"/>
    <mergeCell ref="A37:B37"/>
    <mergeCell ref="A38:B38"/>
    <mergeCell ref="A41:G41"/>
    <mergeCell ref="A7:B7"/>
    <mergeCell ref="A11:B11"/>
    <mergeCell ref="A23:B23"/>
    <mergeCell ref="A25:B25"/>
    <mergeCell ref="A2:Q2"/>
    <mergeCell ref="A4:A5"/>
    <mergeCell ref="B4:B5"/>
    <mergeCell ref="C4:D4"/>
    <mergeCell ref="E4:E5"/>
    <mergeCell ref="F4:H4"/>
    <mergeCell ref="I4:J4"/>
    <mergeCell ref="K4:M4"/>
    <mergeCell ref="P4:Q4"/>
  </mergeCells>
  <printOptions/>
  <pageMargins left="0.75" right="0.75" top="1" bottom="1" header="0.5" footer="0.5"/>
  <pageSetup fitToHeight="1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6"/>
  <sheetViews>
    <sheetView view="pageBreakPreview" zoomScaleSheetLayoutView="100" workbookViewId="0" topLeftCell="A1">
      <selection activeCell="A1" sqref="A1:IV16384"/>
    </sheetView>
  </sheetViews>
  <sheetFormatPr defaultColWidth="9.00390625" defaultRowHeight="12.75"/>
  <cols>
    <col min="1" max="1" width="12.75390625" style="5" customWidth="1"/>
    <col min="2" max="2" width="33.125" style="5" customWidth="1"/>
    <col min="3" max="3" width="13.375" style="0" customWidth="1"/>
    <col min="4" max="4" width="14.125" style="0" customWidth="1"/>
    <col min="5" max="5" width="12.375" style="0" customWidth="1"/>
    <col min="6" max="6" width="12.625" style="0" customWidth="1"/>
    <col min="7" max="7" width="14.00390625" style="0" customWidth="1"/>
    <col min="8" max="8" width="12.375" style="0" customWidth="1"/>
    <col min="9" max="9" width="12.25390625" style="13" customWidth="1"/>
    <col min="10" max="10" width="13.125" style="13" customWidth="1"/>
    <col min="11" max="11" width="12.625" style="13" customWidth="1"/>
    <col min="12" max="12" width="13.75390625" style="0" customWidth="1"/>
    <col min="13" max="13" width="16.00390625" style="0" customWidth="1"/>
    <col min="14" max="14" width="12.75390625" style="0" customWidth="1"/>
  </cols>
  <sheetData>
    <row r="1" spans="12:14" ht="15">
      <c r="L1" s="312" t="s">
        <v>54</v>
      </c>
      <c r="M1" s="312"/>
      <c r="N1" s="312"/>
    </row>
    <row r="3" spans="1:14" ht="22.5">
      <c r="A3" s="313" t="s">
        <v>154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</row>
    <row r="5" spans="1:14" ht="15" customHeight="1">
      <c r="A5" s="318" t="s">
        <v>5</v>
      </c>
      <c r="B5" s="315" t="s">
        <v>7</v>
      </c>
      <c r="C5" s="289" t="s">
        <v>155</v>
      </c>
      <c r="D5" s="272" t="s">
        <v>3</v>
      </c>
      <c r="E5" s="266"/>
      <c r="F5" s="267"/>
      <c r="G5" s="283" t="s">
        <v>2</v>
      </c>
      <c r="H5" s="284"/>
      <c r="I5" s="314" t="s">
        <v>0</v>
      </c>
      <c r="J5" s="314"/>
      <c r="K5" s="314"/>
      <c r="L5" s="306" t="s">
        <v>1</v>
      </c>
      <c r="M5" s="306"/>
      <c r="N5" s="307"/>
    </row>
    <row r="6" spans="1:14" ht="15" customHeight="1">
      <c r="A6" s="319"/>
      <c r="B6" s="316"/>
      <c r="C6" s="308"/>
      <c r="D6" s="289" t="s">
        <v>156</v>
      </c>
      <c r="E6" s="309" t="s">
        <v>6</v>
      </c>
      <c r="F6" s="310"/>
      <c r="G6" s="283" t="s">
        <v>158</v>
      </c>
      <c r="H6" s="304" t="s">
        <v>9</v>
      </c>
      <c r="I6" s="314" t="s">
        <v>4</v>
      </c>
      <c r="J6" s="314" t="s">
        <v>148</v>
      </c>
      <c r="K6" s="314" t="s">
        <v>159</v>
      </c>
      <c r="L6" s="289" t="s">
        <v>4</v>
      </c>
      <c r="M6" s="289" t="s">
        <v>160</v>
      </c>
      <c r="N6" s="289" t="s">
        <v>117</v>
      </c>
    </row>
    <row r="7" spans="1:14" ht="57" customHeight="1">
      <c r="A7" s="320"/>
      <c r="B7" s="317"/>
      <c r="C7" s="264"/>
      <c r="D7" s="264"/>
      <c r="E7" s="4" t="s">
        <v>157</v>
      </c>
      <c r="F7" s="12" t="s">
        <v>8</v>
      </c>
      <c r="G7" s="285"/>
      <c r="H7" s="305"/>
      <c r="I7" s="314"/>
      <c r="J7" s="314"/>
      <c r="K7" s="314"/>
      <c r="L7" s="264"/>
      <c r="M7" s="264"/>
      <c r="N7" s="264"/>
    </row>
    <row r="8" spans="1:14" s="220" customFormat="1" ht="12.75">
      <c r="A8" s="216">
        <v>1</v>
      </c>
      <c r="B8" s="28">
        <v>2</v>
      </c>
      <c r="C8" s="218">
        <v>3</v>
      </c>
      <c r="D8" s="218">
        <v>4</v>
      </c>
      <c r="E8" s="219">
        <v>5</v>
      </c>
      <c r="F8" s="219">
        <v>6</v>
      </c>
      <c r="G8" s="218">
        <v>7</v>
      </c>
      <c r="H8" s="218">
        <v>8</v>
      </c>
      <c r="I8" s="218">
        <v>9</v>
      </c>
      <c r="J8" s="218">
        <v>10</v>
      </c>
      <c r="K8" s="218">
        <v>11</v>
      </c>
      <c r="L8" s="218">
        <v>12</v>
      </c>
      <c r="M8" s="218">
        <v>13</v>
      </c>
      <c r="N8" s="218">
        <v>14</v>
      </c>
    </row>
    <row r="9" spans="1:14" ht="24" customHeight="1">
      <c r="A9" s="303" t="s">
        <v>36</v>
      </c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</row>
    <row r="10" spans="1:14" ht="54" customHeight="1">
      <c r="A10" s="199">
        <v>11010000</v>
      </c>
      <c r="B10" s="11" t="s">
        <v>13</v>
      </c>
      <c r="C10" s="178">
        <v>19431.4</v>
      </c>
      <c r="D10" s="177">
        <v>102041.7</v>
      </c>
      <c r="E10" s="178">
        <v>25787.2</v>
      </c>
      <c r="F10" s="179">
        <v>11613.6</v>
      </c>
      <c r="G10" s="178">
        <v>26669.3</v>
      </c>
      <c r="H10" s="179">
        <f>G10-'01.03'!I8</f>
        <v>9560</v>
      </c>
      <c r="I10" s="200">
        <f>G10/C10*100</f>
        <v>137.2484741192091</v>
      </c>
      <c r="J10" s="200">
        <f>G10/D10*100</f>
        <v>26.13568766494482</v>
      </c>
      <c r="K10" s="200">
        <f>G10/E10*100</f>
        <v>103.42068933424333</v>
      </c>
      <c r="L10" s="178">
        <f>G10-C10</f>
        <v>7237.899999999998</v>
      </c>
      <c r="M10" s="178">
        <f>G10-D10</f>
        <v>-75372.4</v>
      </c>
      <c r="N10" s="178">
        <f>G10-E10</f>
        <v>882.0999999999985</v>
      </c>
    </row>
    <row r="11" spans="1:14" ht="39">
      <c r="A11" s="199">
        <v>22010300</v>
      </c>
      <c r="B11" s="11" t="s">
        <v>10</v>
      </c>
      <c r="C11" s="178">
        <v>4.5</v>
      </c>
      <c r="D11" s="177">
        <v>16.5</v>
      </c>
      <c r="E11" s="178">
        <v>3</v>
      </c>
      <c r="F11" s="179">
        <v>0.8</v>
      </c>
      <c r="G11" s="178">
        <v>3.7</v>
      </c>
      <c r="H11" s="179">
        <f>G11-'01.03'!I9</f>
        <v>1.4000000000000004</v>
      </c>
      <c r="I11" s="200">
        <f>G11/C11*100</f>
        <v>82.22222222222223</v>
      </c>
      <c r="J11" s="200">
        <f>G11/D11*100</f>
        <v>22.424242424242426</v>
      </c>
      <c r="K11" s="200">
        <f>G11/E11*100</f>
        <v>123.33333333333334</v>
      </c>
      <c r="L11" s="178">
        <f>G11-C11</f>
        <v>-0.7999999999999998</v>
      </c>
      <c r="M11" s="178">
        <f>G11-D11</f>
        <v>-12.8</v>
      </c>
      <c r="N11" s="178">
        <f>G11-E11</f>
        <v>0.7000000000000002</v>
      </c>
    </row>
    <row r="12" spans="1:14" ht="18.75" customHeight="1">
      <c r="A12" s="199">
        <v>22090000</v>
      </c>
      <c r="B12" s="11" t="s">
        <v>11</v>
      </c>
      <c r="C12" s="178">
        <v>13.2</v>
      </c>
      <c r="D12" s="177">
        <v>60</v>
      </c>
      <c r="E12" s="178">
        <v>15.1</v>
      </c>
      <c r="F12" s="179">
        <v>6.1</v>
      </c>
      <c r="G12" s="178">
        <v>22</v>
      </c>
      <c r="H12" s="179">
        <f>G12-'01.03'!I10</f>
        <v>15.2</v>
      </c>
      <c r="I12" s="200">
        <f>G12/C12*100</f>
        <v>166.66666666666669</v>
      </c>
      <c r="J12" s="200">
        <f>G12/D12*100</f>
        <v>36.666666666666664</v>
      </c>
      <c r="K12" s="200">
        <f>G12/E12*100</f>
        <v>145.6953642384106</v>
      </c>
      <c r="L12" s="178">
        <f>G12-C12</f>
        <v>8.8</v>
      </c>
      <c r="M12" s="178">
        <f>G12-D12</f>
        <v>-38</v>
      </c>
      <c r="N12" s="178">
        <f>G12-E12</f>
        <v>6.9</v>
      </c>
    </row>
    <row r="13" spans="1:14" ht="30" customHeight="1">
      <c r="A13" s="301" t="s">
        <v>12</v>
      </c>
      <c r="B13" s="301"/>
      <c r="C13" s="180">
        <f aca="true" t="shared" si="0" ref="C13:H13">SUM(C10:C12)</f>
        <v>19449.100000000002</v>
      </c>
      <c r="D13" s="180">
        <f t="shared" si="0"/>
        <v>102118.2</v>
      </c>
      <c r="E13" s="180">
        <f t="shared" si="0"/>
        <v>25805.3</v>
      </c>
      <c r="F13" s="180">
        <f t="shared" si="0"/>
        <v>11620.5</v>
      </c>
      <c r="G13" s="180">
        <f t="shared" si="0"/>
        <v>26695</v>
      </c>
      <c r="H13" s="180">
        <f t="shared" si="0"/>
        <v>9576.6</v>
      </c>
      <c r="I13" s="201">
        <f>G13/C13*100</f>
        <v>137.25570849036714</v>
      </c>
      <c r="J13" s="201">
        <f>G13/D13*100</f>
        <v>26.14127550231007</v>
      </c>
      <c r="K13" s="201">
        <f>G13/E13*100</f>
        <v>103.447741355458</v>
      </c>
      <c r="L13" s="180">
        <f>G13-C13</f>
        <v>7245.899999999998</v>
      </c>
      <c r="M13" s="180">
        <f>G13-D13</f>
        <v>-75423.2</v>
      </c>
      <c r="N13" s="180">
        <f>G13-E13</f>
        <v>889.7000000000007</v>
      </c>
    </row>
    <row r="14" spans="1:14" ht="39">
      <c r="A14" s="202">
        <v>11010600</v>
      </c>
      <c r="B14" s="11" t="s">
        <v>14</v>
      </c>
      <c r="C14" s="178">
        <v>16.4</v>
      </c>
      <c r="D14" s="178">
        <v>0</v>
      </c>
      <c r="E14" s="178">
        <v>0</v>
      </c>
      <c r="F14" s="179">
        <v>0</v>
      </c>
      <c r="G14" s="178">
        <v>-0.4</v>
      </c>
      <c r="H14" s="179">
        <f>G14-'01.03'!I12</f>
        <v>0</v>
      </c>
      <c r="I14" s="200">
        <f aca="true" t="shared" si="1" ref="I14:I26">G14/C14*100</f>
        <v>-2.439024390243903</v>
      </c>
      <c r="J14" s="200" t="e">
        <f aca="true" t="shared" si="2" ref="J14:J22">G14/D14*100</f>
        <v>#DIV/0!</v>
      </c>
      <c r="K14" s="200" t="e">
        <f aca="true" t="shared" si="3" ref="K14:K22">G14/E14*100</f>
        <v>#DIV/0!</v>
      </c>
      <c r="L14" s="178">
        <f aca="true" t="shared" si="4" ref="L14:L22">G14-C14</f>
        <v>-16.799999999999997</v>
      </c>
      <c r="M14" s="178">
        <f aca="true" t="shared" si="5" ref="M14:M22">G14-D14</f>
        <v>-0.4</v>
      </c>
      <c r="N14" s="178">
        <f aca="true" t="shared" si="6" ref="N14:N22">G14-E14</f>
        <v>-0.4</v>
      </c>
    </row>
    <row r="15" spans="1:14" ht="38.25">
      <c r="A15" s="203" t="s">
        <v>15</v>
      </c>
      <c r="B15" s="14" t="s">
        <v>16</v>
      </c>
      <c r="C15" s="178">
        <v>17</v>
      </c>
      <c r="D15" s="178">
        <v>100</v>
      </c>
      <c r="E15" s="178">
        <v>25.7</v>
      </c>
      <c r="F15" s="179">
        <v>4</v>
      </c>
      <c r="G15" s="178">
        <v>168.1</v>
      </c>
      <c r="H15" s="179">
        <f>G15-'01.03'!I13</f>
        <v>0</v>
      </c>
      <c r="I15" s="200" t="s">
        <v>170</v>
      </c>
      <c r="J15" s="200">
        <f t="shared" si="2"/>
        <v>168.1</v>
      </c>
      <c r="K15" s="200" t="s">
        <v>171</v>
      </c>
      <c r="L15" s="178">
        <f t="shared" si="4"/>
        <v>151.1</v>
      </c>
      <c r="M15" s="178">
        <f t="shared" si="5"/>
        <v>68.1</v>
      </c>
      <c r="N15" s="178">
        <f t="shared" si="6"/>
        <v>142.4</v>
      </c>
    </row>
    <row r="16" spans="1:14" ht="15" customHeight="1">
      <c r="A16" s="204">
        <v>13050000</v>
      </c>
      <c r="B16" s="11" t="s">
        <v>17</v>
      </c>
      <c r="C16" s="178">
        <v>3207.9</v>
      </c>
      <c r="D16" s="178">
        <v>14200</v>
      </c>
      <c r="E16" s="178">
        <v>3395.6</v>
      </c>
      <c r="F16" s="179">
        <v>1086.9</v>
      </c>
      <c r="G16" s="178">
        <v>3638.8</v>
      </c>
      <c r="H16" s="179">
        <f>G16-'01.03'!I14</f>
        <v>1187.2000000000003</v>
      </c>
      <c r="I16" s="200">
        <f t="shared" si="1"/>
        <v>113.43246360547398</v>
      </c>
      <c r="J16" s="200">
        <f t="shared" si="2"/>
        <v>25.625352112676058</v>
      </c>
      <c r="K16" s="200">
        <f t="shared" si="3"/>
        <v>107.16220991871835</v>
      </c>
      <c r="L16" s="178">
        <f t="shared" si="4"/>
        <v>430.9000000000001</v>
      </c>
      <c r="M16" s="178">
        <f t="shared" si="5"/>
        <v>-10561.2</v>
      </c>
      <c r="N16" s="178">
        <f t="shared" si="6"/>
        <v>243.20000000000027</v>
      </c>
    </row>
    <row r="17" spans="1:14" ht="26.25">
      <c r="A17" s="204">
        <v>18000000</v>
      </c>
      <c r="B17" s="11" t="s">
        <v>164</v>
      </c>
      <c r="C17" s="181">
        <f aca="true" t="shared" si="7" ref="C17:H17">SUM(C18:C20)</f>
        <v>54.300000000000004</v>
      </c>
      <c r="D17" s="181">
        <f t="shared" si="7"/>
        <v>242</v>
      </c>
      <c r="E17" s="181">
        <f t="shared" si="7"/>
        <v>58.4</v>
      </c>
      <c r="F17" s="182">
        <f t="shared" si="7"/>
        <v>17.8</v>
      </c>
      <c r="G17" s="181">
        <f t="shared" si="7"/>
        <v>64.8</v>
      </c>
      <c r="H17" s="182">
        <f t="shared" si="7"/>
        <v>20.8</v>
      </c>
      <c r="I17" s="200">
        <f t="shared" si="1"/>
        <v>119.33701657458562</v>
      </c>
      <c r="J17" s="200">
        <f t="shared" si="2"/>
        <v>26.77685950413223</v>
      </c>
      <c r="K17" s="200">
        <f t="shared" si="3"/>
        <v>110.95890410958904</v>
      </c>
      <c r="L17" s="178">
        <f t="shared" si="4"/>
        <v>10.499999999999993</v>
      </c>
      <c r="M17" s="178">
        <f t="shared" si="5"/>
        <v>-177.2</v>
      </c>
      <c r="N17" s="178">
        <f t="shared" si="6"/>
        <v>6.399999999999999</v>
      </c>
    </row>
    <row r="18" spans="1:14" ht="15.75" hidden="1">
      <c r="A18" s="204">
        <v>18020000</v>
      </c>
      <c r="B18" s="10" t="s">
        <v>19</v>
      </c>
      <c r="C18" s="178"/>
      <c r="D18" s="178"/>
      <c r="E18" s="178"/>
      <c r="F18" s="179"/>
      <c r="G18" s="178"/>
      <c r="H18" s="179"/>
      <c r="I18" s="200" t="e">
        <f t="shared" si="1"/>
        <v>#DIV/0!</v>
      </c>
      <c r="J18" s="200" t="e">
        <f t="shared" si="2"/>
        <v>#DIV/0!</v>
      </c>
      <c r="K18" s="200" t="e">
        <f t="shared" si="3"/>
        <v>#DIV/0!</v>
      </c>
      <c r="L18" s="178">
        <f t="shared" si="4"/>
        <v>0</v>
      </c>
      <c r="M18" s="178">
        <f t="shared" si="5"/>
        <v>0</v>
      </c>
      <c r="N18" s="178">
        <f t="shared" si="6"/>
        <v>0</v>
      </c>
    </row>
    <row r="19" spans="1:14" ht="15.75">
      <c r="A19" s="204">
        <v>18030000</v>
      </c>
      <c r="B19" s="10" t="s">
        <v>20</v>
      </c>
      <c r="C19" s="178">
        <v>0.1</v>
      </c>
      <c r="D19" s="178">
        <v>2</v>
      </c>
      <c r="E19" s="178">
        <v>0.4</v>
      </c>
      <c r="F19" s="179">
        <v>0.2</v>
      </c>
      <c r="G19" s="178">
        <f>1.1+0.1</f>
        <v>1.2000000000000002</v>
      </c>
      <c r="H19" s="179">
        <f>G19-'01.03'!I15</f>
        <v>0.30000000000000016</v>
      </c>
      <c r="I19" s="200" t="s">
        <v>168</v>
      </c>
      <c r="J19" s="200">
        <f t="shared" si="2"/>
        <v>60.00000000000001</v>
      </c>
      <c r="K19" s="200" t="s">
        <v>169</v>
      </c>
      <c r="L19" s="178">
        <f t="shared" si="4"/>
        <v>1.1</v>
      </c>
      <c r="M19" s="178">
        <f t="shared" si="5"/>
        <v>-0.7999999999999998</v>
      </c>
      <c r="N19" s="178">
        <f t="shared" si="6"/>
        <v>0.8000000000000002</v>
      </c>
    </row>
    <row r="20" spans="1:14" ht="26.25">
      <c r="A20" s="204">
        <v>18040000</v>
      </c>
      <c r="B20" s="11" t="s">
        <v>21</v>
      </c>
      <c r="C20" s="178">
        <v>54.2</v>
      </c>
      <c r="D20" s="178">
        <v>240</v>
      </c>
      <c r="E20" s="178">
        <v>58</v>
      </c>
      <c r="F20" s="179">
        <v>17.6</v>
      </c>
      <c r="G20" s="178">
        <v>63.6</v>
      </c>
      <c r="H20" s="179">
        <f>G20-'01.03'!I16</f>
        <v>20.5</v>
      </c>
      <c r="I20" s="200">
        <f t="shared" si="1"/>
        <v>117.3431734317343</v>
      </c>
      <c r="J20" s="200">
        <f t="shared" si="2"/>
        <v>26.5</v>
      </c>
      <c r="K20" s="200">
        <f t="shared" si="3"/>
        <v>109.6551724137931</v>
      </c>
      <c r="L20" s="178">
        <f t="shared" si="4"/>
        <v>9.399999999999999</v>
      </c>
      <c r="M20" s="178">
        <f t="shared" si="5"/>
        <v>-176.4</v>
      </c>
      <c r="N20" s="178">
        <f t="shared" si="6"/>
        <v>5.600000000000001</v>
      </c>
    </row>
    <row r="21" spans="1:14" ht="26.25">
      <c r="A21" s="204">
        <v>19040100</v>
      </c>
      <c r="B21" s="11" t="s">
        <v>41</v>
      </c>
      <c r="C21" s="178">
        <v>0</v>
      </c>
      <c r="D21" s="178">
        <v>0</v>
      </c>
      <c r="E21" s="178">
        <v>0</v>
      </c>
      <c r="F21" s="179">
        <v>0</v>
      </c>
      <c r="G21" s="178">
        <v>0.1</v>
      </c>
      <c r="H21" s="179">
        <v>0.1</v>
      </c>
      <c r="I21" s="200" t="e">
        <f t="shared" si="1"/>
        <v>#DIV/0!</v>
      </c>
      <c r="J21" s="200" t="e">
        <f>G21/D21*100</f>
        <v>#DIV/0!</v>
      </c>
      <c r="K21" s="200" t="e">
        <f>G21/E21*100</f>
        <v>#DIV/0!</v>
      </c>
      <c r="L21" s="178">
        <f>G21-C21</f>
        <v>0.1</v>
      </c>
      <c r="M21" s="178">
        <f>G21-D21</f>
        <v>0.1</v>
      </c>
      <c r="N21" s="178">
        <f>G21-E21</f>
        <v>0.1</v>
      </c>
    </row>
    <row r="22" spans="1:14" ht="51">
      <c r="A22" s="44" t="s">
        <v>26</v>
      </c>
      <c r="B22" s="8" t="s">
        <v>162</v>
      </c>
      <c r="C22" s="178">
        <v>0.3</v>
      </c>
      <c r="D22" s="178">
        <v>0</v>
      </c>
      <c r="E22" s="178">
        <v>0</v>
      </c>
      <c r="F22" s="179">
        <v>0</v>
      </c>
      <c r="G22" s="178">
        <v>0</v>
      </c>
      <c r="H22" s="179">
        <f>G22</f>
        <v>0</v>
      </c>
      <c r="I22" s="200">
        <f t="shared" si="1"/>
        <v>0</v>
      </c>
      <c r="J22" s="200" t="e">
        <f t="shared" si="2"/>
        <v>#DIV/0!</v>
      </c>
      <c r="K22" s="200" t="e">
        <f t="shared" si="3"/>
        <v>#DIV/0!</v>
      </c>
      <c r="L22" s="178">
        <f t="shared" si="4"/>
        <v>-0.3</v>
      </c>
      <c r="M22" s="178">
        <f t="shared" si="5"/>
        <v>0</v>
      </c>
      <c r="N22" s="178">
        <f t="shared" si="6"/>
        <v>0</v>
      </c>
    </row>
    <row r="23" spans="1:14" ht="15.75">
      <c r="A23" s="203" t="s">
        <v>24</v>
      </c>
      <c r="B23" s="9" t="s">
        <v>25</v>
      </c>
      <c r="C23" s="178">
        <v>4.2</v>
      </c>
      <c r="D23" s="178">
        <v>15</v>
      </c>
      <c r="E23" s="178">
        <v>3.9</v>
      </c>
      <c r="F23" s="179">
        <v>0.2</v>
      </c>
      <c r="G23" s="178">
        <v>9</v>
      </c>
      <c r="H23" s="179">
        <f>G23-'01.03'!I18</f>
        <v>2.5</v>
      </c>
      <c r="I23" s="200" t="s">
        <v>172</v>
      </c>
      <c r="J23" s="200">
        <f aca="true" t="shared" si="8" ref="J23:J32">G23/D23*100</f>
        <v>60</v>
      </c>
      <c r="K23" s="200" t="s">
        <v>173</v>
      </c>
      <c r="L23" s="178">
        <f aca="true" t="shared" si="9" ref="L23:L32">G23-C23</f>
        <v>4.8</v>
      </c>
      <c r="M23" s="178">
        <f aca="true" t="shared" si="10" ref="M23:M32">G23-D23</f>
        <v>-6</v>
      </c>
      <c r="N23" s="178">
        <f aca="true" t="shared" si="11" ref="N23:N32">G23-E23</f>
        <v>5.1</v>
      </c>
    </row>
    <row r="24" spans="1:14" ht="53.25" customHeight="1">
      <c r="A24" s="203" t="s">
        <v>22</v>
      </c>
      <c r="B24" s="18" t="s">
        <v>23</v>
      </c>
      <c r="C24" s="178">
        <v>148.7</v>
      </c>
      <c r="D24" s="178">
        <v>645</v>
      </c>
      <c r="E24" s="178">
        <v>147.4</v>
      </c>
      <c r="F24" s="179">
        <v>33.7</v>
      </c>
      <c r="G24" s="178">
        <v>156.3</v>
      </c>
      <c r="H24" s="179">
        <f>G24-'01.03'!I17</f>
        <v>34.80000000000001</v>
      </c>
      <c r="I24" s="200">
        <f t="shared" si="1"/>
        <v>105.1109616677875</v>
      </c>
      <c r="J24" s="200">
        <f t="shared" si="8"/>
        <v>24.232558139534884</v>
      </c>
      <c r="K24" s="200">
        <f aca="true" t="shared" si="12" ref="K24:K32">G24/E24*100</f>
        <v>106.03799185888738</v>
      </c>
      <c r="L24" s="178">
        <f t="shared" si="9"/>
        <v>7.600000000000023</v>
      </c>
      <c r="M24" s="178">
        <f t="shared" si="10"/>
        <v>-488.7</v>
      </c>
      <c r="N24" s="178">
        <f t="shared" si="11"/>
        <v>8.900000000000006</v>
      </c>
    </row>
    <row r="25" spans="1:14" ht="31.5">
      <c r="A25" s="204" t="s">
        <v>55</v>
      </c>
      <c r="B25" s="10" t="s">
        <v>28</v>
      </c>
      <c r="C25" s="178">
        <v>126.1</v>
      </c>
      <c r="D25" s="178">
        <v>0</v>
      </c>
      <c r="E25" s="178">
        <v>0</v>
      </c>
      <c r="F25" s="179">
        <v>0</v>
      </c>
      <c r="G25" s="178">
        <f>16.2+0.5</f>
        <v>16.7</v>
      </c>
      <c r="H25" s="179">
        <f>G25-'01.03'!I19</f>
        <v>0.5</v>
      </c>
      <c r="I25" s="200">
        <f t="shared" si="1"/>
        <v>13.243457573354481</v>
      </c>
      <c r="J25" s="200" t="e">
        <f t="shared" si="8"/>
        <v>#DIV/0!</v>
      </c>
      <c r="K25" s="200" t="e">
        <f t="shared" si="12"/>
        <v>#DIV/0!</v>
      </c>
      <c r="L25" s="178">
        <f t="shared" si="9"/>
        <v>-109.39999999999999</v>
      </c>
      <c r="M25" s="178">
        <f t="shared" si="10"/>
        <v>16.7</v>
      </c>
      <c r="N25" s="178">
        <f t="shared" si="11"/>
        <v>16.7</v>
      </c>
    </row>
    <row r="26" spans="1:14" ht="0.75" customHeight="1" hidden="1">
      <c r="A26" s="204">
        <v>24060600</v>
      </c>
      <c r="B26" s="11" t="s">
        <v>29</v>
      </c>
      <c r="C26" s="178"/>
      <c r="D26" s="178"/>
      <c r="E26" s="178"/>
      <c r="F26" s="179"/>
      <c r="G26" s="178"/>
      <c r="H26" s="179"/>
      <c r="I26" s="200" t="e">
        <f t="shared" si="1"/>
        <v>#DIV/0!</v>
      </c>
      <c r="J26" s="200" t="e">
        <f t="shared" si="8"/>
        <v>#DIV/0!</v>
      </c>
      <c r="K26" s="200" t="e">
        <f t="shared" si="12"/>
        <v>#DIV/0!</v>
      </c>
      <c r="L26" s="178">
        <f t="shared" si="9"/>
        <v>0</v>
      </c>
      <c r="M26" s="178">
        <f t="shared" si="10"/>
        <v>0</v>
      </c>
      <c r="N26" s="178">
        <f t="shared" si="11"/>
        <v>0</v>
      </c>
    </row>
    <row r="27" spans="1:14" ht="64.5">
      <c r="A27" s="204">
        <v>31010200</v>
      </c>
      <c r="B27" s="11" t="s">
        <v>30</v>
      </c>
      <c r="C27" s="178">
        <v>0.3</v>
      </c>
      <c r="D27" s="178">
        <v>0</v>
      </c>
      <c r="E27" s="178">
        <v>0</v>
      </c>
      <c r="F27" s="179">
        <v>0</v>
      </c>
      <c r="G27" s="178">
        <v>0.1</v>
      </c>
      <c r="H27" s="179">
        <f>G27-'01.03'!I21</f>
        <v>0</v>
      </c>
      <c r="I27" s="200">
        <f aca="true" t="shared" si="13" ref="I27:I32">G27/C27*100</f>
        <v>33.333333333333336</v>
      </c>
      <c r="J27" s="200" t="e">
        <f t="shared" si="8"/>
        <v>#DIV/0!</v>
      </c>
      <c r="K27" s="200" t="e">
        <f t="shared" si="12"/>
        <v>#DIV/0!</v>
      </c>
      <c r="L27" s="178">
        <f t="shared" si="9"/>
        <v>-0.19999999999999998</v>
      </c>
      <c r="M27" s="178">
        <f t="shared" si="10"/>
        <v>0.1</v>
      </c>
      <c r="N27" s="178">
        <f t="shared" si="11"/>
        <v>0.1</v>
      </c>
    </row>
    <row r="28" spans="1:14" s="102" customFormat="1" ht="30" customHeight="1">
      <c r="A28" s="301" t="s">
        <v>31</v>
      </c>
      <c r="B28" s="301"/>
      <c r="C28" s="180">
        <f aca="true" t="shared" si="14" ref="C28:H28">SUM(C14:C27)-C17</f>
        <v>3575.2</v>
      </c>
      <c r="D28" s="180">
        <f t="shared" si="14"/>
        <v>15202</v>
      </c>
      <c r="E28" s="180">
        <f t="shared" si="14"/>
        <v>3631</v>
      </c>
      <c r="F28" s="180">
        <f t="shared" si="14"/>
        <v>1142.6000000000001</v>
      </c>
      <c r="G28" s="180">
        <f t="shared" si="14"/>
        <v>4053.5</v>
      </c>
      <c r="H28" s="180">
        <f t="shared" si="14"/>
        <v>1245.9</v>
      </c>
      <c r="I28" s="201">
        <f t="shared" si="13"/>
        <v>113.37827254419335</v>
      </c>
      <c r="J28" s="201">
        <f t="shared" si="8"/>
        <v>26.66425470332851</v>
      </c>
      <c r="K28" s="201">
        <f t="shared" si="12"/>
        <v>111.63591297163316</v>
      </c>
      <c r="L28" s="180">
        <f t="shared" si="9"/>
        <v>478.3000000000002</v>
      </c>
      <c r="M28" s="180">
        <f t="shared" si="10"/>
        <v>-11148.5</v>
      </c>
      <c r="N28" s="180">
        <f t="shared" si="11"/>
        <v>422.5</v>
      </c>
    </row>
    <row r="29" spans="1:14" ht="25.5" customHeight="1">
      <c r="A29" s="299" t="s">
        <v>35</v>
      </c>
      <c r="B29" s="299"/>
      <c r="C29" s="22">
        <f aca="true" t="shared" si="15" ref="C29:H29">C13+C28</f>
        <v>23024.300000000003</v>
      </c>
      <c r="D29" s="22">
        <f t="shared" si="15"/>
        <v>117320.2</v>
      </c>
      <c r="E29" s="22">
        <f t="shared" si="15"/>
        <v>29436.3</v>
      </c>
      <c r="F29" s="22">
        <f t="shared" si="15"/>
        <v>12763.1</v>
      </c>
      <c r="G29" s="22">
        <f t="shared" si="15"/>
        <v>30748.5</v>
      </c>
      <c r="H29" s="22">
        <f t="shared" si="15"/>
        <v>10822.5</v>
      </c>
      <c r="I29" s="25">
        <f t="shared" si="13"/>
        <v>133.54803403360796</v>
      </c>
      <c r="J29" s="25">
        <f t="shared" si="8"/>
        <v>26.20904158022233</v>
      </c>
      <c r="K29" s="25">
        <f t="shared" si="12"/>
        <v>104.45776133549394</v>
      </c>
      <c r="L29" s="22">
        <f t="shared" si="9"/>
        <v>7724.199999999997</v>
      </c>
      <c r="M29" s="22">
        <f t="shared" si="10"/>
        <v>-86571.7</v>
      </c>
      <c r="N29" s="22">
        <f t="shared" si="11"/>
        <v>1312.2000000000007</v>
      </c>
    </row>
    <row r="30" spans="1:14" ht="26.25">
      <c r="A30" s="205">
        <v>40000000</v>
      </c>
      <c r="B30" s="20" t="s">
        <v>32</v>
      </c>
      <c r="C30" s="180">
        <f aca="true" t="shared" si="16" ref="C30:H30">SUM(C31:C32)</f>
        <v>5402.6</v>
      </c>
      <c r="D30" s="180">
        <f t="shared" si="16"/>
        <v>33836.2</v>
      </c>
      <c r="E30" s="180">
        <f t="shared" si="16"/>
        <v>7163.9</v>
      </c>
      <c r="F30" s="180">
        <f t="shared" si="16"/>
        <v>2532.6</v>
      </c>
      <c r="G30" s="180">
        <f t="shared" si="16"/>
        <v>6924.4</v>
      </c>
      <c r="H30" s="180">
        <f t="shared" si="16"/>
        <v>2300.3999999999996</v>
      </c>
      <c r="I30" s="201">
        <f t="shared" si="13"/>
        <v>128.16791915003884</v>
      </c>
      <c r="J30" s="201">
        <f t="shared" si="8"/>
        <v>20.464472960911685</v>
      </c>
      <c r="K30" s="201">
        <f t="shared" si="12"/>
        <v>96.65684892307263</v>
      </c>
      <c r="L30" s="180">
        <f t="shared" si="9"/>
        <v>1521.7999999999993</v>
      </c>
      <c r="M30" s="180">
        <f t="shared" si="10"/>
        <v>-26911.799999999996</v>
      </c>
      <c r="N30" s="180">
        <f t="shared" si="11"/>
        <v>-239.5</v>
      </c>
    </row>
    <row r="31" spans="1:14" ht="15.75">
      <c r="A31" s="206">
        <v>41020000</v>
      </c>
      <c r="B31" s="11" t="s">
        <v>33</v>
      </c>
      <c r="C31" s="178"/>
      <c r="D31" s="178">
        <v>6000</v>
      </c>
      <c r="E31" s="178">
        <v>0</v>
      </c>
      <c r="F31" s="179">
        <v>0</v>
      </c>
      <c r="G31" s="178">
        <v>0</v>
      </c>
      <c r="H31" s="179">
        <f>G31</f>
        <v>0</v>
      </c>
      <c r="I31" s="200" t="e">
        <f t="shared" si="13"/>
        <v>#DIV/0!</v>
      </c>
      <c r="J31" s="200">
        <f t="shared" si="8"/>
        <v>0</v>
      </c>
      <c r="K31" s="200" t="e">
        <f t="shared" si="12"/>
        <v>#DIV/0!</v>
      </c>
      <c r="L31" s="178">
        <f t="shared" si="9"/>
        <v>0</v>
      </c>
      <c r="M31" s="178">
        <f t="shared" si="10"/>
        <v>-6000</v>
      </c>
      <c r="N31" s="178">
        <f t="shared" si="11"/>
        <v>0</v>
      </c>
    </row>
    <row r="32" spans="1:14" ht="15.75">
      <c r="A32" s="206">
        <v>41030000</v>
      </c>
      <c r="B32" s="11" t="s">
        <v>34</v>
      </c>
      <c r="C32" s="178">
        <v>5402.6</v>
      </c>
      <c r="D32" s="178">
        <v>27836.2</v>
      </c>
      <c r="E32" s="178">
        <v>7163.9</v>
      </c>
      <c r="F32" s="179">
        <v>2532.6</v>
      </c>
      <c r="G32" s="178">
        <v>6924.4</v>
      </c>
      <c r="H32" s="179">
        <f>G32-'01.03'!I24</f>
        <v>2300.3999999999996</v>
      </c>
      <c r="I32" s="200">
        <f t="shared" si="13"/>
        <v>128.16791915003884</v>
      </c>
      <c r="J32" s="200">
        <f t="shared" si="8"/>
        <v>24.87552180254489</v>
      </c>
      <c r="K32" s="200">
        <f t="shared" si="12"/>
        <v>96.65684892307263</v>
      </c>
      <c r="L32" s="178">
        <f t="shared" si="9"/>
        <v>1521.7999999999993</v>
      </c>
      <c r="M32" s="178">
        <f t="shared" si="10"/>
        <v>-20911.800000000003</v>
      </c>
      <c r="N32" s="178">
        <f t="shared" si="11"/>
        <v>-239.5</v>
      </c>
    </row>
    <row r="33" spans="1:14" ht="40.5" customHeight="1">
      <c r="A33" s="302" t="s">
        <v>50</v>
      </c>
      <c r="B33" s="302"/>
      <c r="C33" s="23">
        <f aca="true" t="shared" si="17" ref="C33:H33">C29+C30</f>
        <v>28426.9</v>
      </c>
      <c r="D33" s="23">
        <f>D29+D30</f>
        <v>151156.4</v>
      </c>
      <c r="E33" s="23">
        <f t="shared" si="17"/>
        <v>36600.2</v>
      </c>
      <c r="F33" s="23">
        <f t="shared" si="17"/>
        <v>15295.7</v>
      </c>
      <c r="G33" s="23">
        <f t="shared" si="17"/>
        <v>37672.9</v>
      </c>
      <c r="H33" s="23">
        <f t="shared" si="17"/>
        <v>13122.9</v>
      </c>
      <c r="I33" s="26">
        <f aca="true" t="shared" si="18" ref="I33:I43">G33/C33*100</f>
        <v>132.52553039550565</v>
      </c>
      <c r="J33" s="26">
        <f aca="true" t="shared" si="19" ref="J33:J43">G33/D33*100</f>
        <v>24.923125980772234</v>
      </c>
      <c r="K33" s="26">
        <f aca="true" t="shared" si="20" ref="K33:K43">G33/E33*100</f>
        <v>102.93085830132075</v>
      </c>
      <c r="L33" s="23">
        <f aca="true" t="shared" si="21" ref="L33:L43">G33-C33</f>
        <v>9246</v>
      </c>
      <c r="M33" s="23">
        <f aca="true" t="shared" si="22" ref="M33:M43">G33-D33</f>
        <v>-113483.5</v>
      </c>
      <c r="N33" s="23">
        <f aca="true" t="shared" si="23" ref="N33:N43">G33-E33</f>
        <v>1072.7000000000044</v>
      </c>
    </row>
    <row r="34" spans="1:14" ht="24" customHeight="1">
      <c r="A34" s="300" t="s">
        <v>37</v>
      </c>
      <c r="B34" s="300"/>
      <c r="C34" s="300"/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300"/>
    </row>
    <row r="35" spans="1:14" ht="27.75" customHeight="1">
      <c r="A35" s="301" t="s">
        <v>165</v>
      </c>
      <c r="B35" s="301"/>
      <c r="C35" s="180">
        <f aca="true" t="shared" si="24" ref="C35:H35">SUM(C36:C38)</f>
        <v>100.60000000000001</v>
      </c>
      <c r="D35" s="180">
        <f t="shared" si="24"/>
        <v>48</v>
      </c>
      <c r="E35" s="180">
        <f t="shared" si="24"/>
        <v>11.6</v>
      </c>
      <c r="F35" s="180">
        <f t="shared" si="24"/>
        <v>4</v>
      </c>
      <c r="G35" s="180">
        <f t="shared" si="24"/>
        <v>47.800000000000004</v>
      </c>
      <c r="H35" s="180">
        <f t="shared" si="24"/>
        <v>6.700000000000001</v>
      </c>
      <c r="I35" s="207">
        <f t="shared" si="18"/>
        <v>47.514910536779325</v>
      </c>
      <c r="J35" s="207">
        <f t="shared" si="19"/>
        <v>99.58333333333334</v>
      </c>
      <c r="K35" s="207">
        <f t="shared" si="20"/>
        <v>412.06896551724145</v>
      </c>
      <c r="L35" s="208">
        <f t="shared" si="21"/>
        <v>-52.800000000000004</v>
      </c>
      <c r="M35" s="208">
        <f t="shared" si="22"/>
        <v>-0.19999999999999574</v>
      </c>
      <c r="N35" s="208">
        <f t="shared" si="23"/>
        <v>36.2</v>
      </c>
    </row>
    <row r="36" spans="1:14" ht="26.25">
      <c r="A36" s="204">
        <v>12020000</v>
      </c>
      <c r="B36" s="11" t="s">
        <v>38</v>
      </c>
      <c r="C36" s="178">
        <v>97.4</v>
      </c>
      <c r="D36" s="178">
        <v>0</v>
      </c>
      <c r="E36" s="178">
        <v>0</v>
      </c>
      <c r="F36" s="179">
        <v>0</v>
      </c>
      <c r="G36" s="178">
        <v>30.8</v>
      </c>
      <c r="H36" s="179">
        <f>G36-30</f>
        <v>0.8000000000000007</v>
      </c>
      <c r="I36" s="200">
        <f t="shared" si="18"/>
        <v>31.622176591375766</v>
      </c>
      <c r="J36" s="200" t="e">
        <f t="shared" si="19"/>
        <v>#DIV/0!</v>
      </c>
      <c r="K36" s="200" t="e">
        <f t="shared" si="20"/>
        <v>#DIV/0!</v>
      </c>
      <c r="L36" s="178">
        <f t="shared" si="21"/>
        <v>-66.60000000000001</v>
      </c>
      <c r="M36" s="178">
        <f t="shared" si="22"/>
        <v>30.8</v>
      </c>
      <c r="N36" s="178">
        <f t="shared" si="23"/>
        <v>30.8</v>
      </c>
    </row>
    <row r="37" spans="1:14" ht="26.25">
      <c r="A37" s="204">
        <v>12030000</v>
      </c>
      <c r="B37" s="11" t="s">
        <v>39</v>
      </c>
      <c r="C37" s="178">
        <v>1.2</v>
      </c>
      <c r="D37" s="178">
        <v>24</v>
      </c>
      <c r="E37" s="178">
        <v>5.3</v>
      </c>
      <c r="F37" s="179">
        <v>2</v>
      </c>
      <c r="G37" s="178">
        <v>2.9</v>
      </c>
      <c r="H37" s="179">
        <f>2.9-1</f>
        <v>1.9</v>
      </c>
      <c r="I37" s="200">
        <f t="shared" si="18"/>
        <v>241.66666666666666</v>
      </c>
      <c r="J37" s="200">
        <f t="shared" si="19"/>
        <v>12.083333333333334</v>
      </c>
      <c r="K37" s="200">
        <f t="shared" si="20"/>
        <v>54.71698113207547</v>
      </c>
      <c r="L37" s="178">
        <f t="shared" si="21"/>
        <v>1.7</v>
      </c>
      <c r="M37" s="178">
        <f t="shared" si="22"/>
        <v>-21.1</v>
      </c>
      <c r="N37" s="178">
        <f t="shared" si="23"/>
        <v>-2.4</v>
      </c>
    </row>
    <row r="38" spans="1:14" ht="79.5" customHeight="1">
      <c r="A38" s="204">
        <v>18041500</v>
      </c>
      <c r="B38" s="11" t="s">
        <v>40</v>
      </c>
      <c r="C38" s="178">
        <v>2</v>
      </c>
      <c r="D38" s="178">
        <v>24</v>
      </c>
      <c r="E38" s="178">
        <v>6.3</v>
      </c>
      <c r="F38" s="179">
        <v>2</v>
      </c>
      <c r="G38" s="178">
        <v>14.1</v>
      </c>
      <c r="H38" s="179">
        <f>G38-10.1</f>
        <v>4</v>
      </c>
      <c r="I38" s="200" t="s">
        <v>174</v>
      </c>
      <c r="J38" s="200">
        <f t="shared" si="19"/>
        <v>58.75</v>
      </c>
      <c r="K38" s="200" t="s">
        <v>175</v>
      </c>
      <c r="L38" s="178">
        <f t="shared" si="21"/>
        <v>12.1</v>
      </c>
      <c r="M38" s="178">
        <f t="shared" si="22"/>
        <v>-9.9</v>
      </c>
      <c r="N38" s="178">
        <f t="shared" si="23"/>
        <v>7.8</v>
      </c>
    </row>
    <row r="39" spans="1:14" ht="28.5" customHeight="1">
      <c r="A39" s="301" t="s">
        <v>166</v>
      </c>
      <c r="B39" s="301"/>
      <c r="C39" s="208">
        <f aca="true" t="shared" si="25" ref="C39:H39">SUM(C40:C42)</f>
        <v>16.5</v>
      </c>
      <c r="D39" s="208">
        <f t="shared" si="25"/>
        <v>200</v>
      </c>
      <c r="E39" s="208">
        <f t="shared" si="25"/>
        <v>50</v>
      </c>
      <c r="F39" s="208">
        <f t="shared" si="25"/>
        <v>0</v>
      </c>
      <c r="G39" s="208">
        <f t="shared" si="25"/>
        <v>48.1</v>
      </c>
      <c r="H39" s="208">
        <f t="shared" si="25"/>
        <v>0</v>
      </c>
      <c r="I39" s="207">
        <f t="shared" si="18"/>
        <v>291.5151515151515</v>
      </c>
      <c r="J39" s="207">
        <f t="shared" si="19"/>
        <v>24.05</v>
      </c>
      <c r="K39" s="207">
        <f t="shared" si="20"/>
        <v>96.2</v>
      </c>
      <c r="L39" s="208">
        <f t="shared" si="21"/>
        <v>31.6</v>
      </c>
      <c r="M39" s="208">
        <f t="shared" si="22"/>
        <v>-151.9</v>
      </c>
      <c r="N39" s="208">
        <f t="shared" si="23"/>
        <v>-1.8999999999999986</v>
      </c>
    </row>
    <row r="40" spans="1:14" ht="15.75">
      <c r="A40" s="204">
        <v>19010000</v>
      </c>
      <c r="B40" s="11" t="s">
        <v>42</v>
      </c>
      <c r="C40" s="178"/>
      <c r="D40" s="178">
        <v>200</v>
      </c>
      <c r="E40" s="178">
        <v>50</v>
      </c>
      <c r="F40" s="179">
        <v>0</v>
      </c>
      <c r="G40" s="178">
        <v>48.1</v>
      </c>
      <c r="H40" s="179">
        <f>G40-48.1</f>
        <v>0</v>
      </c>
      <c r="I40" s="200" t="e">
        <f t="shared" si="18"/>
        <v>#DIV/0!</v>
      </c>
      <c r="J40" s="200">
        <f t="shared" si="19"/>
        <v>24.05</v>
      </c>
      <c r="K40" s="200">
        <f t="shared" si="20"/>
        <v>96.2</v>
      </c>
      <c r="L40" s="178">
        <f t="shared" si="21"/>
        <v>48.1</v>
      </c>
      <c r="M40" s="178">
        <f t="shared" si="22"/>
        <v>-151.9</v>
      </c>
      <c r="N40" s="178">
        <f t="shared" si="23"/>
        <v>-1.8999999999999986</v>
      </c>
    </row>
    <row r="41" spans="1:14" ht="26.25">
      <c r="A41" s="204">
        <v>19050000</v>
      </c>
      <c r="B41" s="11" t="s">
        <v>43</v>
      </c>
      <c r="C41" s="178">
        <v>16.4</v>
      </c>
      <c r="D41" s="178">
        <v>0</v>
      </c>
      <c r="E41" s="178">
        <v>0</v>
      </c>
      <c r="F41" s="179">
        <v>0</v>
      </c>
      <c r="G41" s="178">
        <v>0</v>
      </c>
      <c r="H41" s="179">
        <v>0</v>
      </c>
      <c r="I41" s="200">
        <f t="shared" si="18"/>
        <v>0</v>
      </c>
      <c r="J41" s="200" t="e">
        <f t="shared" si="19"/>
        <v>#DIV/0!</v>
      </c>
      <c r="K41" s="200" t="e">
        <f t="shared" si="20"/>
        <v>#DIV/0!</v>
      </c>
      <c r="L41" s="178">
        <f t="shared" si="21"/>
        <v>-16.4</v>
      </c>
      <c r="M41" s="178">
        <f t="shared" si="22"/>
        <v>0</v>
      </c>
      <c r="N41" s="178">
        <f t="shared" si="23"/>
        <v>0</v>
      </c>
    </row>
    <row r="42" spans="1:14" ht="64.5">
      <c r="A42" s="204">
        <v>24061200</v>
      </c>
      <c r="B42" s="11" t="s">
        <v>56</v>
      </c>
      <c r="C42" s="178">
        <v>0.1</v>
      </c>
      <c r="D42" s="178">
        <v>0</v>
      </c>
      <c r="E42" s="178">
        <v>0</v>
      </c>
      <c r="F42" s="179">
        <v>0</v>
      </c>
      <c r="G42" s="178">
        <v>0</v>
      </c>
      <c r="H42" s="179">
        <v>0</v>
      </c>
      <c r="I42" s="200">
        <f t="shared" si="18"/>
        <v>0</v>
      </c>
      <c r="J42" s="200" t="e">
        <f t="shared" si="19"/>
        <v>#DIV/0!</v>
      </c>
      <c r="K42" s="200" t="e">
        <f t="shared" si="20"/>
        <v>#DIV/0!</v>
      </c>
      <c r="L42" s="178">
        <f t="shared" si="21"/>
        <v>-0.1</v>
      </c>
      <c r="M42" s="178">
        <f t="shared" si="22"/>
        <v>0</v>
      </c>
      <c r="N42" s="178">
        <f t="shared" si="23"/>
        <v>0</v>
      </c>
    </row>
    <row r="43" spans="1:14" ht="27" customHeight="1">
      <c r="A43" s="301" t="s">
        <v>167</v>
      </c>
      <c r="B43" s="301"/>
      <c r="C43" s="208">
        <f aca="true" t="shared" si="26" ref="C43:H43">SUM(C44:C46)</f>
        <v>442.9</v>
      </c>
      <c r="D43" s="208">
        <f t="shared" si="26"/>
        <v>1800</v>
      </c>
      <c r="E43" s="208">
        <f t="shared" si="26"/>
        <v>440.3</v>
      </c>
      <c r="F43" s="208">
        <f t="shared" si="26"/>
        <v>154</v>
      </c>
      <c r="G43" s="208">
        <f t="shared" si="26"/>
        <v>452.6</v>
      </c>
      <c r="H43" s="208">
        <f t="shared" si="26"/>
        <v>190.60000000000002</v>
      </c>
      <c r="I43" s="207">
        <f t="shared" si="18"/>
        <v>102.19011063445474</v>
      </c>
      <c r="J43" s="207">
        <f t="shared" si="19"/>
        <v>25.144444444444446</v>
      </c>
      <c r="K43" s="207">
        <f t="shared" si="20"/>
        <v>102.79354985237339</v>
      </c>
      <c r="L43" s="208">
        <f t="shared" si="21"/>
        <v>9.700000000000045</v>
      </c>
      <c r="M43" s="208">
        <f t="shared" si="22"/>
        <v>-1347.4</v>
      </c>
      <c r="N43" s="208">
        <f t="shared" si="23"/>
        <v>12.300000000000011</v>
      </c>
    </row>
    <row r="44" spans="1:14" ht="15.75">
      <c r="A44" s="204">
        <v>18050000</v>
      </c>
      <c r="B44" s="11" t="s">
        <v>44</v>
      </c>
      <c r="C44" s="178">
        <v>442.9</v>
      </c>
      <c r="D44" s="178">
        <v>1800</v>
      </c>
      <c r="E44" s="178">
        <v>440.3</v>
      </c>
      <c r="F44" s="179">
        <v>154</v>
      </c>
      <c r="G44" s="178">
        <f>452.5</f>
        <v>452.5</v>
      </c>
      <c r="H44" s="179">
        <f>G44-261.9</f>
        <v>190.60000000000002</v>
      </c>
      <c r="I44" s="209">
        <f aca="true" t="shared" si="27" ref="I44:I55">G44/C44*100</f>
        <v>102.16753217430572</v>
      </c>
      <c r="J44" s="209">
        <f aca="true" t="shared" si="28" ref="J44:J55">G44/D44*100</f>
        <v>25.13888888888889</v>
      </c>
      <c r="K44" s="209">
        <f aca="true" t="shared" si="29" ref="K44:K55">G44/E44*100</f>
        <v>102.77083806495571</v>
      </c>
      <c r="L44" s="210">
        <f aca="true" t="shared" si="30" ref="L44:L55">G44-C44</f>
        <v>9.600000000000023</v>
      </c>
      <c r="M44" s="210">
        <f aca="true" t="shared" si="31" ref="M44:M55">G44-D44</f>
        <v>-1347.5</v>
      </c>
      <c r="N44" s="210">
        <f aca="true" t="shared" si="32" ref="N44:N55">G44-E44</f>
        <v>12.199999999999989</v>
      </c>
    </row>
    <row r="45" spans="1:14" ht="39">
      <c r="A45" s="206">
        <v>31030000</v>
      </c>
      <c r="B45" s="11" t="s">
        <v>45</v>
      </c>
      <c r="C45" s="178">
        <v>0</v>
      </c>
      <c r="D45" s="178">
        <v>0</v>
      </c>
      <c r="E45" s="178">
        <v>0</v>
      </c>
      <c r="F45" s="179">
        <v>0</v>
      </c>
      <c r="G45" s="178">
        <v>0.1</v>
      </c>
      <c r="H45" s="179">
        <v>0</v>
      </c>
      <c r="I45" s="209" t="e">
        <f t="shared" si="27"/>
        <v>#DIV/0!</v>
      </c>
      <c r="J45" s="209" t="e">
        <f t="shared" si="28"/>
        <v>#DIV/0!</v>
      </c>
      <c r="K45" s="209" t="e">
        <f t="shared" si="29"/>
        <v>#DIV/0!</v>
      </c>
      <c r="L45" s="210">
        <f t="shared" si="30"/>
        <v>0.1</v>
      </c>
      <c r="M45" s="210">
        <f t="shared" si="31"/>
        <v>0.1</v>
      </c>
      <c r="N45" s="210">
        <f t="shared" si="32"/>
        <v>0.1</v>
      </c>
    </row>
    <row r="46" spans="1:14" ht="15.75" hidden="1">
      <c r="A46" s="206">
        <v>33010000</v>
      </c>
      <c r="B46" s="11" t="s">
        <v>46</v>
      </c>
      <c r="C46" s="178"/>
      <c r="D46" s="178"/>
      <c r="E46" s="178"/>
      <c r="F46" s="179"/>
      <c r="G46" s="178"/>
      <c r="H46" s="179"/>
      <c r="I46" s="209" t="e">
        <f t="shared" si="27"/>
        <v>#DIV/0!</v>
      </c>
      <c r="J46" s="209" t="e">
        <f t="shared" si="28"/>
        <v>#DIV/0!</v>
      </c>
      <c r="K46" s="209" t="e">
        <f t="shared" si="29"/>
        <v>#DIV/0!</v>
      </c>
      <c r="L46" s="210">
        <f t="shared" si="30"/>
        <v>0</v>
      </c>
      <c r="M46" s="210">
        <f t="shared" si="31"/>
        <v>0</v>
      </c>
      <c r="N46" s="210">
        <f t="shared" si="32"/>
        <v>0</v>
      </c>
    </row>
    <row r="47" spans="1:14" ht="17.25" customHeight="1">
      <c r="A47" s="297" t="s">
        <v>47</v>
      </c>
      <c r="B47" s="297"/>
      <c r="C47" s="208">
        <v>2.3</v>
      </c>
      <c r="D47" s="208">
        <v>0</v>
      </c>
      <c r="E47" s="208">
        <v>0</v>
      </c>
      <c r="F47" s="208">
        <v>0</v>
      </c>
      <c r="G47" s="208">
        <v>5.9</v>
      </c>
      <c r="H47" s="208">
        <f>G47-5.2</f>
        <v>0.7000000000000002</v>
      </c>
      <c r="I47" s="207" t="s">
        <v>176</v>
      </c>
      <c r="J47" s="207" t="e">
        <f t="shared" si="28"/>
        <v>#DIV/0!</v>
      </c>
      <c r="K47" s="207" t="e">
        <f t="shared" si="29"/>
        <v>#DIV/0!</v>
      </c>
      <c r="L47" s="208">
        <f t="shared" si="30"/>
        <v>3.6000000000000005</v>
      </c>
      <c r="M47" s="208">
        <f t="shared" si="31"/>
        <v>5.9</v>
      </c>
      <c r="N47" s="208">
        <f t="shared" si="32"/>
        <v>5.9</v>
      </c>
    </row>
    <row r="48" spans="1:14" ht="22.5" customHeight="1">
      <c r="A48" s="211" t="s">
        <v>51</v>
      </c>
      <c r="B48" s="21"/>
      <c r="C48" s="208">
        <v>1008.8</v>
      </c>
      <c r="D48" s="208">
        <v>3767.8</v>
      </c>
      <c r="E48" s="208">
        <f>D48/4</f>
        <v>941.95</v>
      </c>
      <c r="F48" s="208">
        <f>D48/12</f>
        <v>313.98333333333335</v>
      </c>
      <c r="G48" s="208">
        <f>1049.1+182.6</f>
        <v>1231.6999999999998</v>
      </c>
      <c r="H48" s="208">
        <f>G48-'01.03'!I30</f>
        <v>396.1999999999998</v>
      </c>
      <c r="I48" s="207">
        <f>G48/C48*100</f>
        <v>122.09555908009516</v>
      </c>
      <c r="J48" s="207">
        <f>G48/D48*100</f>
        <v>32.690164021444865</v>
      </c>
      <c r="K48" s="207">
        <f>G48/E48*100</f>
        <v>130.76065608577946</v>
      </c>
      <c r="L48" s="208">
        <f>G48-C48</f>
        <v>222.89999999999986</v>
      </c>
      <c r="M48" s="208">
        <f>G48-D48</f>
        <v>-2536.1000000000004</v>
      </c>
      <c r="N48" s="208">
        <f>G48-E48</f>
        <v>289.7499999999998</v>
      </c>
    </row>
    <row r="49" spans="1:14" ht="24.75" customHeight="1">
      <c r="A49" s="19" t="s">
        <v>48</v>
      </c>
      <c r="B49" s="217"/>
      <c r="C49" s="22">
        <f aca="true" t="shared" si="33" ref="C49:H49">C35+C39+C43+C47+C48</f>
        <v>1571.1</v>
      </c>
      <c r="D49" s="22">
        <f t="shared" si="33"/>
        <v>5815.8</v>
      </c>
      <c r="E49" s="22">
        <f t="shared" si="33"/>
        <v>1443.8500000000001</v>
      </c>
      <c r="F49" s="22">
        <f t="shared" si="33"/>
        <v>471.98333333333335</v>
      </c>
      <c r="G49" s="22">
        <f t="shared" si="33"/>
        <v>1786.1</v>
      </c>
      <c r="H49" s="22">
        <f t="shared" si="33"/>
        <v>594.1999999999998</v>
      </c>
      <c r="I49" s="25">
        <f>G49/C49*100</f>
        <v>113.68467952390044</v>
      </c>
      <c r="J49" s="25">
        <f>G49/D49*100</f>
        <v>30.711166133635952</v>
      </c>
      <c r="K49" s="25">
        <f>G49/E49*100</f>
        <v>123.70398587110847</v>
      </c>
      <c r="L49" s="22">
        <f>G49-C49</f>
        <v>215</v>
      </c>
      <c r="M49" s="22">
        <f>G49-D49</f>
        <v>-4029.7000000000003</v>
      </c>
      <c r="N49" s="22">
        <f>G49-E49</f>
        <v>342.2499999999998</v>
      </c>
    </row>
    <row r="50" spans="1:14" ht="28.5" customHeight="1">
      <c r="A50" s="205">
        <v>40000000</v>
      </c>
      <c r="B50" s="20" t="s">
        <v>32</v>
      </c>
      <c r="C50" s="180">
        <f aca="true" t="shared" si="34" ref="C50:H50">SUM(C51:C53)</f>
        <v>703.3</v>
      </c>
      <c r="D50" s="180">
        <f t="shared" si="34"/>
        <v>6271.2</v>
      </c>
      <c r="E50" s="180">
        <f t="shared" si="34"/>
        <v>1645.9</v>
      </c>
      <c r="F50" s="180">
        <f t="shared" si="34"/>
        <v>556.9</v>
      </c>
      <c r="G50" s="180">
        <f t="shared" si="34"/>
        <v>1534.2</v>
      </c>
      <c r="H50" s="180">
        <f t="shared" si="34"/>
        <v>1534.2</v>
      </c>
      <c r="I50" s="201">
        <f t="shared" si="27"/>
        <v>218.1430399545002</v>
      </c>
      <c r="J50" s="201">
        <f t="shared" si="28"/>
        <v>24.464217374665136</v>
      </c>
      <c r="K50" s="201">
        <f t="shared" si="29"/>
        <v>93.21343945561699</v>
      </c>
      <c r="L50" s="180">
        <f t="shared" si="30"/>
        <v>830.9000000000001</v>
      </c>
      <c r="M50" s="180">
        <f t="shared" si="31"/>
        <v>-4737</v>
      </c>
      <c r="N50" s="180">
        <f t="shared" si="32"/>
        <v>-111.70000000000005</v>
      </c>
    </row>
    <row r="51" spans="1:14" ht="64.5">
      <c r="A51" s="206">
        <v>41034401</v>
      </c>
      <c r="B51" s="11" t="s">
        <v>161</v>
      </c>
      <c r="C51" s="210">
        <v>0</v>
      </c>
      <c r="D51" s="210">
        <v>1136.1</v>
      </c>
      <c r="E51" s="210">
        <v>251.3</v>
      </c>
      <c r="F51" s="179">
        <v>95.1</v>
      </c>
      <c r="G51" s="210">
        <v>251.3</v>
      </c>
      <c r="H51" s="179">
        <f>G51</f>
        <v>251.3</v>
      </c>
      <c r="I51" s="209" t="e">
        <f t="shared" si="27"/>
        <v>#DIV/0!</v>
      </c>
      <c r="J51" s="209">
        <f t="shared" si="28"/>
        <v>22.11953173136168</v>
      </c>
      <c r="K51" s="209">
        <f t="shared" si="29"/>
        <v>100</v>
      </c>
      <c r="L51" s="210">
        <f t="shared" si="30"/>
        <v>251.3</v>
      </c>
      <c r="M51" s="210">
        <f t="shared" si="31"/>
        <v>-884.8</v>
      </c>
      <c r="N51" s="210">
        <f t="shared" si="32"/>
        <v>0</v>
      </c>
    </row>
    <row r="52" spans="1:14" ht="15.75">
      <c r="A52" s="206">
        <v>41035001</v>
      </c>
      <c r="B52" s="11" t="s">
        <v>163</v>
      </c>
      <c r="C52" s="210">
        <v>0</v>
      </c>
      <c r="D52" s="210">
        <v>505.3</v>
      </c>
      <c r="E52" s="210">
        <v>111.7</v>
      </c>
      <c r="F52" s="179">
        <v>42.3</v>
      </c>
      <c r="G52" s="210">
        <v>0</v>
      </c>
      <c r="H52" s="179">
        <v>0</v>
      </c>
      <c r="I52" s="209" t="e">
        <f>G52/C52*100</f>
        <v>#DIV/0!</v>
      </c>
      <c r="J52" s="209">
        <f>G52/D52*100</f>
        <v>0</v>
      </c>
      <c r="K52" s="209">
        <f>G52/E52*100</f>
        <v>0</v>
      </c>
      <c r="L52" s="210">
        <f>G52-C52</f>
        <v>0</v>
      </c>
      <c r="M52" s="210">
        <f>G52-D52</f>
        <v>-505.3</v>
      </c>
      <c r="N52" s="210">
        <f>G52-E52</f>
        <v>-111.7</v>
      </c>
    </row>
    <row r="53" spans="1:14" ht="60" customHeight="1">
      <c r="A53" s="206">
        <v>41035101</v>
      </c>
      <c r="B53" s="11" t="s">
        <v>49</v>
      </c>
      <c r="C53" s="210">
        <v>703.3</v>
      </c>
      <c r="D53" s="210">
        <v>4629.8</v>
      </c>
      <c r="E53" s="210">
        <v>1282.9</v>
      </c>
      <c r="F53" s="179">
        <v>419.5</v>
      </c>
      <c r="G53" s="210">
        <v>1282.9</v>
      </c>
      <c r="H53" s="179">
        <f>G53</f>
        <v>1282.9</v>
      </c>
      <c r="I53" s="209">
        <f>G53/C53*100</f>
        <v>182.41148869614676</v>
      </c>
      <c r="J53" s="209">
        <f>G53/D53*100</f>
        <v>27.70962028597348</v>
      </c>
      <c r="K53" s="209">
        <f>G53/E53*100</f>
        <v>100</v>
      </c>
      <c r="L53" s="210">
        <f>G53-C53</f>
        <v>579.6000000000001</v>
      </c>
      <c r="M53" s="210">
        <f>G53-D53</f>
        <v>-3346.9</v>
      </c>
      <c r="N53" s="210">
        <f>G53-E53</f>
        <v>0</v>
      </c>
    </row>
    <row r="54" spans="1:14" ht="39.75" customHeight="1">
      <c r="A54" s="298" t="s">
        <v>52</v>
      </c>
      <c r="B54" s="298"/>
      <c r="C54" s="212">
        <f aca="true" t="shared" si="35" ref="C54:H54">C49+C50</f>
        <v>2274.3999999999996</v>
      </c>
      <c r="D54" s="212">
        <f t="shared" si="35"/>
        <v>12087</v>
      </c>
      <c r="E54" s="212">
        <f t="shared" si="35"/>
        <v>3089.75</v>
      </c>
      <c r="F54" s="212">
        <f t="shared" si="35"/>
        <v>1028.8833333333332</v>
      </c>
      <c r="G54" s="212">
        <f t="shared" si="35"/>
        <v>3320.3</v>
      </c>
      <c r="H54" s="212">
        <f t="shared" si="35"/>
        <v>2128.3999999999996</v>
      </c>
      <c r="I54" s="213">
        <f t="shared" si="27"/>
        <v>145.98575448469927</v>
      </c>
      <c r="J54" s="213">
        <f t="shared" si="28"/>
        <v>27.47000910068669</v>
      </c>
      <c r="K54" s="213">
        <f t="shared" si="29"/>
        <v>107.46176875151711</v>
      </c>
      <c r="L54" s="212">
        <f t="shared" si="30"/>
        <v>1045.9000000000005</v>
      </c>
      <c r="M54" s="212">
        <f t="shared" si="31"/>
        <v>-8766.7</v>
      </c>
      <c r="N54" s="212">
        <f t="shared" si="32"/>
        <v>230.55000000000018</v>
      </c>
    </row>
    <row r="55" spans="1:14" ht="40.5" customHeight="1">
      <c r="A55" s="311" t="s">
        <v>53</v>
      </c>
      <c r="B55" s="311"/>
      <c r="C55" s="214">
        <f aca="true" t="shared" si="36" ref="C55:H55">C33+C54</f>
        <v>30701.300000000003</v>
      </c>
      <c r="D55" s="214">
        <f t="shared" si="36"/>
        <v>163243.4</v>
      </c>
      <c r="E55" s="214">
        <f t="shared" si="36"/>
        <v>39689.95</v>
      </c>
      <c r="F55" s="214">
        <f t="shared" si="36"/>
        <v>16324.583333333334</v>
      </c>
      <c r="G55" s="214">
        <f t="shared" si="36"/>
        <v>40993.200000000004</v>
      </c>
      <c r="H55" s="214">
        <f t="shared" si="36"/>
        <v>15251.3</v>
      </c>
      <c r="I55" s="215">
        <f t="shared" si="27"/>
        <v>133.52268470716226</v>
      </c>
      <c r="J55" s="215">
        <f t="shared" si="28"/>
        <v>25.1117043629329</v>
      </c>
      <c r="K55" s="215">
        <f t="shared" si="29"/>
        <v>103.28357682486376</v>
      </c>
      <c r="L55" s="214">
        <f t="shared" si="30"/>
        <v>10291.900000000001</v>
      </c>
      <c r="M55" s="214">
        <f t="shared" si="31"/>
        <v>-122250.19999999998</v>
      </c>
      <c r="N55" s="214">
        <f t="shared" si="32"/>
        <v>1303.2500000000073</v>
      </c>
    </row>
    <row r="56" spans="2:8" ht="12.75">
      <c r="B56" s="6"/>
      <c r="C56" s="24"/>
      <c r="D56" s="24"/>
      <c r="E56" s="24"/>
      <c r="F56" s="24"/>
      <c r="G56" s="24"/>
      <c r="H56" s="24"/>
    </row>
  </sheetData>
  <mergeCells count="31">
    <mergeCell ref="A55:B55"/>
    <mergeCell ref="L1:N1"/>
    <mergeCell ref="A3:N3"/>
    <mergeCell ref="I6:I7"/>
    <mergeCell ref="J6:J7"/>
    <mergeCell ref="B5:B7"/>
    <mergeCell ref="A5:A7"/>
    <mergeCell ref="I5:K5"/>
    <mergeCell ref="K6:K7"/>
    <mergeCell ref="G5:H5"/>
    <mergeCell ref="C5:C7"/>
    <mergeCell ref="D5:F5"/>
    <mergeCell ref="E6:F6"/>
    <mergeCell ref="D6:D7"/>
    <mergeCell ref="G6:G7"/>
    <mergeCell ref="H6:H7"/>
    <mergeCell ref="L5:N5"/>
    <mergeCell ref="L6:L7"/>
    <mergeCell ref="M6:M7"/>
    <mergeCell ref="N6:N7"/>
    <mergeCell ref="A13:B13"/>
    <mergeCell ref="A28:B28"/>
    <mergeCell ref="A33:B33"/>
    <mergeCell ref="A9:N9"/>
    <mergeCell ref="A47:B47"/>
    <mergeCell ref="A54:B54"/>
    <mergeCell ref="A29:B29"/>
    <mergeCell ref="A34:N34"/>
    <mergeCell ref="A35:B35"/>
    <mergeCell ref="A39:B39"/>
    <mergeCell ref="A43:B43"/>
  </mergeCells>
  <printOptions horizontalCentered="1"/>
  <pageMargins left="0.37" right="0.29" top="0.76" bottom="0.52" header="0.5118110236220472" footer="0.5118110236220472"/>
  <pageSetup horizontalDpi="600" verticalDpi="6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7"/>
  <sheetViews>
    <sheetView view="pageBreakPreview" zoomScaleSheetLayoutView="100" workbookViewId="0" topLeftCell="A17">
      <selection activeCell="D52" sqref="D52:D54"/>
    </sheetView>
  </sheetViews>
  <sheetFormatPr defaultColWidth="9.00390625" defaultRowHeight="12.75"/>
  <cols>
    <col min="1" max="1" width="12.75390625" style="5" customWidth="1"/>
    <col min="2" max="2" width="33.125" style="5" customWidth="1"/>
    <col min="3" max="3" width="13.375" style="0" customWidth="1"/>
    <col min="4" max="4" width="14.125" style="0" customWidth="1"/>
    <col min="5" max="5" width="12.375" style="0" customWidth="1"/>
    <col min="6" max="6" width="12.625" style="0" customWidth="1"/>
    <col min="7" max="7" width="14.00390625" style="0" customWidth="1"/>
    <col min="8" max="8" width="12.375" style="0" customWidth="1"/>
    <col min="9" max="9" width="12.25390625" style="13" customWidth="1"/>
    <col min="10" max="10" width="13.125" style="13" customWidth="1"/>
    <col min="11" max="11" width="12.625" style="13" customWidth="1"/>
    <col min="12" max="12" width="13.75390625" style="0" customWidth="1"/>
    <col min="13" max="13" width="14.375" style="0" customWidth="1"/>
    <col min="14" max="14" width="12.75390625" style="0" customWidth="1"/>
  </cols>
  <sheetData>
    <row r="1" spans="12:14" ht="15">
      <c r="L1" s="312" t="s">
        <v>54</v>
      </c>
      <c r="M1" s="312"/>
      <c r="N1" s="312"/>
    </row>
    <row r="3" spans="1:14" ht="22.5">
      <c r="A3" s="313" t="s">
        <v>177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</row>
    <row r="5" spans="1:14" ht="15" customHeight="1">
      <c r="A5" s="318" t="s">
        <v>5</v>
      </c>
      <c r="B5" s="315" t="s">
        <v>7</v>
      </c>
      <c r="C5" s="289" t="s">
        <v>178</v>
      </c>
      <c r="D5" s="272" t="s">
        <v>3</v>
      </c>
      <c r="E5" s="266"/>
      <c r="F5" s="267"/>
      <c r="G5" s="283" t="s">
        <v>2</v>
      </c>
      <c r="H5" s="284"/>
      <c r="I5" s="314" t="s">
        <v>0</v>
      </c>
      <c r="J5" s="314"/>
      <c r="K5" s="314"/>
      <c r="L5" s="306" t="s">
        <v>1</v>
      </c>
      <c r="M5" s="306"/>
      <c r="N5" s="307"/>
    </row>
    <row r="6" spans="1:14" ht="15" customHeight="1">
      <c r="A6" s="319"/>
      <c r="B6" s="316"/>
      <c r="C6" s="308"/>
      <c r="D6" s="289" t="s">
        <v>156</v>
      </c>
      <c r="E6" s="309" t="s">
        <v>6</v>
      </c>
      <c r="F6" s="310"/>
      <c r="G6" s="283" t="s">
        <v>158</v>
      </c>
      <c r="H6" s="304" t="s">
        <v>57</v>
      </c>
      <c r="I6" s="314" t="s">
        <v>4</v>
      </c>
      <c r="J6" s="314" t="s">
        <v>148</v>
      </c>
      <c r="K6" s="314" t="s">
        <v>153</v>
      </c>
      <c r="L6" s="314" t="s">
        <v>4</v>
      </c>
      <c r="M6" s="314" t="s">
        <v>148</v>
      </c>
      <c r="N6" s="314" t="s">
        <v>153</v>
      </c>
    </row>
    <row r="7" spans="1:14" ht="57" customHeight="1">
      <c r="A7" s="320"/>
      <c r="B7" s="317"/>
      <c r="C7" s="264"/>
      <c r="D7" s="264"/>
      <c r="E7" s="4" t="s">
        <v>157</v>
      </c>
      <c r="F7" s="12" t="s">
        <v>57</v>
      </c>
      <c r="G7" s="285"/>
      <c r="H7" s="305"/>
      <c r="I7" s="314"/>
      <c r="J7" s="314"/>
      <c r="K7" s="314"/>
      <c r="L7" s="314"/>
      <c r="M7" s="314"/>
      <c r="N7" s="314"/>
    </row>
    <row r="8" spans="1:14" s="220" customFormat="1" ht="12.75">
      <c r="A8" s="216">
        <v>1</v>
      </c>
      <c r="B8" s="28">
        <v>2</v>
      </c>
      <c r="C8" s="218">
        <v>3</v>
      </c>
      <c r="D8" s="218">
        <v>4</v>
      </c>
      <c r="E8" s="219">
        <v>5</v>
      </c>
      <c r="F8" s="219">
        <v>6</v>
      </c>
      <c r="G8" s="218">
        <v>7</v>
      </c>
      <c r="H8" s="218">
        <v>8</v>
      </c>
      <c r="I8" s="218">
        <v>9</v>
      </c>
      <c r="J8" s="218">
        <v>10</v>
      </c>
      <c r="K8" s="218">
        <v>11</v>
      </c>
      <c r="L8" s="218">
        <v>12</v>
      </c>
      <c r="M8" s="218">
        <v>13</v>
      </c>
      <c r="N8" s="218">
        <v>14</v>
      </c>
    </row>
    <row r="9" spans="1:14" ht="24" customHeight="1">
      <c r="A9" s="303" t="s">
        <v>36</v>
      </c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</row>
    <row r="10" spans="1:14" ht="54" customHeight="1">
      <c r="A10" s="204">
        <v>11010000</v>
      </c>
      <c r="B10" s="11" t="s">
        <v>13</v>
      </c>
      <c r="C10" s="178">
        <v>27405.5</v>
      </c>
      <c r="D10" s="221">
        <v>102041.7</v>
      </c>
      <c r="E10" s="178">
        <v>33632</v>
      </c>
      <c r="F10" s="179">
        <f>E10-'за 1 кв'!E10</f>
        <v>7844.799999999999</v>
      </c>
      <c r="G10" s="178">
        <v>34281.9</v>
      </c>
      <c r="H10" s="179">
        <f>G10-'за 1 кв'!G10</f>
        <v>7612.600000000002</v>
      </c>
      <c r="I10" s="200">
        <f>G10/C10*100</f>
        <v>125.09131378737845</v>
      </c>
      <c r="J10" s="200">
        <f>G10/D10*100</f>
        <v>33.59597105889063</v>
      </c>
      <c r="K10" s="200">
        <f>G10/E10*100</f>
        <v>101.93238582302568</v>
      </c>
      <c r="L10" s="178">
        <f>G10-C10</f>
        <v>6876.4000000000015</v>
      </c>
      <c r="M10" s="178">
        <f>G10-D10</f>
        <v>-67759.79999999999</v>
      </c>
      <c r="N10" s="178">
        <f>G10-E10</f>
        <v>649.9000000000015</v>
      </c>
    </row>
    <row r="11" spans="1:14" ht="39">
      <c r="A11" s="204">
        <v>22010300</v>
      </c>
      <c r="B11" s="11" t="s">
        <v>10</v>
      </c>
      <c r="C11" s="178">
        <v>5.9</v>
      </c>
      <c r="D11" s="221">
        <v>16.5</v>
      </c>
      <c r="E11" s="178">
        <v>4.4</v>
      </c>
      <c r="F11" s="179">
        <f>E11-'за 1 кв'!E11</f>
        <v>1.4000000000000004</v>
      </c>
      <c r="G11" s="178">
        <v>5.4</v>
      </c>
      <c r="H11" s="179">
        <f>G11-'за 1 кв'!G11</f>
        <v>1.7000000000000002</v>
      </c>
      <c r="I11" s="200">
        <f>G11/C11*100</f>
        <v>91.52542372881356</v>
      </c>
      <c r="J11" s="200">
        <f>G11/D11*100</f>
        <v>32.72727272727273</v>
      </c>
      <c r="K11" s="200">
        <f>G11/E11*100</f>
        <v>122.72727272727273</v>
      </c>
      <c r="L11" s="178">
        <f>G11-C11</f>
        <v>-0.5</v>
      </c>
      <c r="M11" s="178">
        <f>G11-D11</f>
        <v>-11.1</v>
      </c>
      <c r="N11" s="178">
        <f>G11-E11</f>
        <v>1</v>
      </c>
    </row>
    <row r="12" spans="1:14" ht="51.75" hidden="1">
      <c r="A12" s="204">
        <v>22010900</v>
      </c>
      <c r="B12" s="11" t="s">
        <v>179</v>
      </c>
      <c r="C12" s="178">
        <v>0.1</v>
      </c>
      <c r="D12" s="221">
        <v>0</v>
      </c>
      <c r="E12" s="178">
        <v>0</v>
      </c>
      <c r="F12" s="179"/>
      <c r="G12" s="178">
        <v>0</v>
      </c>
      <c r="H12" s="179"/>
      <c r="I12" s="200">
        <f>G12/C12*100</f>
        <v>0</v>
      </c>
      <c r="J12" s="200" t="e">
        <f>G12/D12*100</f>
        <v>#DIV/0!</v>
      </c>
      <c r="K12" s="200" t="e">
        <f>G12/E12*100</f>
        <v>#DIV/0!</v>
      </c>
      <c r="L12" s="178">
        <f>G12-C12</f>
        <v>-0.1</v>
      </c>
      <c r="M12" s="178">
        <f>G12-D12</f>
        <v>0</v>
      </c>
      <c r="N12" s="178">
        <f>G12-E12</f>
        <v>0</v>
      </c>
    </row>
    <row r="13" spans="1:14" ht="18.75" customHeight="1">
      <c r="A13" s="204">
        <v>22090000</v>
      </c>
      <c r="B13" s="11" t="s">
        <v>11</v>
      </c>
      <c r="C13" s="178">
        <v>20.2</v>
      </c>
      <c r="D13" s="221">
        <v>60</v>
      </c>
      <c r="E13" s="178">
        <v>21.4</v>
      </c>
      <c r="F13" s="179">
        <f>E13-'за 1 кв'!E12</f>
        <v>6.299999999999999</v>
      </c>
      <c r="G13" s="178">
        <v>34.4</v>
      </c>
      <c r="H13" s="179">
        <f>G13-'за 1 кв'!G12</f>
        <v>12.399999999999999</v>
      </c>
      <c r="I13" s="200">
        <f>G13/C13*100</f>
        <v>170.2970297029703</v>
      </c>
      <c r="J13" s="200">
        <f>G13/D13*100</f>
        <v>57.333333333333336</v>
      </c>
      <c r="K13" s="200">
        <f>G13/E13*100</f>
        <v>160.74766355140187</v>
      </c>
      <c r="L13" s="178">
        <f>G13-C13</f>
        <v>14.2</v>
      </c>
      <c r="M13" s="178">
        <f>G13-D13</f>
        <v>-25.6</v>
      </c>
      <c r="N13" s="178">
        <f>G13-E13</f>
        <v>13</v>
      </c>
    </row>
    <row r="14" spans="1:14" ht="30" customHeight="1">
      <c r="A14" s="301" t="s">
        <v>12</v>
      </c>
      <c r="B14" s="301"/>
      <c r="C14" s="180">
        <f aca="true" t="shared" si="0" ref="C14:H14">SUM(C10:C13)</f>
        <v>27431.7</v>
      </c>
      <c r="D14" s="180">
        <f t="shared" si="0"/>
        <v>102118.2</v>
      </c>
      <c r="E14" s="180">
        <f t="shared" si="0"/>
        <v>33657.8</v>
      </c>
      <c r="F14" s="180">
        <f t="shared" si="0"/>
        <v>7852.499999999999</v>
      </c>
      <c r="G14" s="180">
        <f t="shared" si="0"/>
        <v>34321.700000000004</v>
      </c>
      <c r="H14" s="180">
        <f t="shared" si="0"/>
        <v>7626.700000000002</v>
      </c>
      <c r="I14" s="201">
        <f>G14/C14*100</f>
        <v>125.11692676720729</v>
      </c>
      <c r="J14" s="201">
        <f>G14/D14*100</f>
        <v>33.609777688991784</v>
      </c>
      <c r="K14" s="201">
        <f>G14/E14*100</f>
        <v>101.97249968803665</v>
      </c>
      <c r="L14" s="180">
        <f>G14-C14</f>
        <v>6890.000000000004</v>
      </c>
      <c r="M14" s="180">
        <f>G14-D14</f>
        <v>-67796.5</v>
      </c>
      <c r="N14" s="180">
        <f>G14-E14</f>
        <v>663.9000000000015</v>
      </c>
    </row>
    <row r="15" spans="1:14" ht="39">
      <c r="A15" s="204">
        <v>11010600</v>
      </c>
      <c r="B15" s="11" t="s">
        <v>14</v>
      </c>
      <c r="C15" s="178">
        <v>21.4</v>
      </c>
      <c r="D15" s="178">
        <v>0</v>
      </c>
      <c r="E15" s="178">
        <v>0</v>
      </c>
      <c r="F15" s="179">
        <f>E15-'за 1 кв'!E14</f>
        <v>0</v>
      </c>
      <c r="G15" s="178">
        <v>-0.4</v>
      </c>
      <c r="H15" s="179">
        <f>G15-'за 1 кв'!G14</f>
        <v>0</v>
      </c>
      <c r="I15" s="200">
        <f aca="true" t="shared" si="1" ref="I15:I56">G15/C15*100</f>
        <v>-1.869158878504673</v>
      </c>
      <c r="J15" s="200" t="e">
        <f aca="true" t="shared" si="2" ref="J15:J56">G15/D15*100</f>
        <v>#DIV/0!</v>
      </c>
      <c r="K15" s="200" t="e">
        <f aca="true" t="shared" si="3" ref="K15:K25">G15/E15*100</f>
        <v>#DIV/0!</v>
      </c>
      <c r="L15" s="178">
        <f aca="true" t="shared" si="4" ref="L15:L56">G15-C15</f>
        <v>-21.799999999999997</v>
      </c>
      <c r="M15" s="178">
        <f aca="true" t="shared" si="5" ref="M15:M56">G15-D15</f>
        <v>-0.4</v>
      </c>
      <c r="N15" s="178">
        <f aca="true" t="shared" si="6" ref="N15:N56">G15-E15</f>
        <v>-0.4</v>
      </c>
    </row>
    <row r="16" spans="1:14" ht="38.25">
      <c r="A16" s="203" t="s">
        <v>15</v>
      </c>
      <c r="B16" s="14" t="s">
        <v>16</v>
      </c>
      <c r="C16" s="178">
        <v>17.7</v>
      </c>
      <c r="D16" s="178">
        <v>100</v>
      </c>
      <c r="E16" s="178">
        <v>25.7</v>
      </c>
      <c r="F16" s="179">
        <f>E16-'за 1 кв'!E15</f>
        <v>0</v>
      </c>
      <c r="G16" s="178">
        <v>168.6</v>
      </c>
      <c r="H16" s="179">
        <f>G16-'за 1 кв'!G15</f>
        <v>0.5</v>
      </c>
      <c r="I16" s="200">
        <f t="shared" si="1"/>
        <v>952.5423728813558</v>
      </c>
      <c r="J16" s="200">
        <f t="shared" si="2"/>
        <v>168.6</v>
      </c>
      <c r="K16" s="200">
        <f t="shared" si="3"/>
        <v>656.0311284046693</v>
      </c>
      <c r="L16" s="178">
        <f t="shared" si="4"/>
        <v>150.9</v>
      </c>
      <c r="M16" s="178">
        <f t="shared" si="5"/>
        <v>68.6</v>
      </c>
      <c r="N16" s="178">
        <f t="shared" si="6"/>
        <v>142.9</v>
      </c>
    </row>
    <row r="17" spans="1:14" ht="15" customHeight="1">
      <c r="A17" s="204">
        <v>13050000</v>
      </c>
      <c r="B17" s="11" t="s">
        <v>17</v>
      </c>
      <c r="C17" s="178">
        <v>4412.4</v>
      </c>
      <c r="D17" s="178">
        <v>14200</v>
      </c>
      <c r="E17" s="178">
        <v>4582.4</v>
      </c>
      <c r="F17" s="179">
        <f>E17-'за 1 кв'!E16</f>
        <v>1186.7999999999997</v>
      </c>
      <c r="G17" s="178">
        <v>4823.3</v>
      </c>
      <c r="H17" s="179">
        <f>G17-'за 1 кв'!G16</f>
        <v>1184.5</v>
      </c>
      <c r="I17" s="200">
        <f t="shared" si="1"/>
        <v>109.31239234883512</v>
      </c>
      <c r="J17" s="200">
        <f t="shared" si="2"/>
        <v>33.9669014084507</v>
      </c>
      <c r="K17" s="200">
        <f t="shared" si="3"/>
        <v>105.25707053072625</v>
      </c>
      <c r="L17" s="178">
        <f t="shared" si="4"/>
        <v>410.90000000000055</v>
      </c>
      <c r="M17" s="178">
        <f t="shared" si="5"/>
        <v>-9376.7</v>
      </c>
      <c r="N17" s="178">
        <f t="shared" si="6"/>
        <v>240.90000000000055</v>
      </c>
    </row>
    <row r="18" spans="1:14" s="225" customFormat="1" ht="26.25">
      <c r="A18" s="222">
        <v>18000000</v>
      </c>
      <c r="B18" s="223" t="s">
        <v>164</v>
      </c>
      <c r="C18" s="181">
        <f aca="true" t="shared" si="7" ref="C18:H18">SUM(C19:C21)</f>
        <v>72.2</v>
      </c>
      <c r="D18" s="181">
        <f t="shared" si="7"/>
        <v>242</v>
      </c>
      <c r="E18" s="181">
        <f t="shared" si="7"/>
        <v>79.6</v>
      </c>
      <c r="F18" s="182">
        <f t="shared" si="7"/>
        <v>21.2</v>
      </c>
      <c r="G18" s="181">
        <f t="shared" si="7"/>
        <v>90.4</v>
      </c>
      <c r="H18" s="182">
        <f t="shared" si="7"/>
        <v>25.600000000000005</v>
      </c>
      <c r="I18" s="181">
        <f t="shared" si="1"/>
        <v>125.20775623268699</v>
      </c>
      <c r="J18" s="181">
        <f t="shared" si="2"/>
        <v>37.35537190082645</v>
      </c>
      <c r="K18" s="181">
        <f t="shared" si="3"/>
        <v>113.56783919597993</v>
      </c>
      <c r="L18" s="224">
        <f t="shared" si="4"/>
        <v>18.200000000000003</v>
      </c>
      <c r="M18" s="224">
        <f t="shared" si="5"/>
        <v>-151.6</v>
      </c>
      <c r="N18" s="224">
        <f t="shared" si="6"/>
        <v>10.800000000000011</v>
      </c>
    </row>
    <row r="19" spans="1:14" ht="15.75" hidden="1">
      <c r="A19" s="204">
        <v>18020000</v>
      </c>
      <c r="B19" s="10" t="s">
        <v>19</v>
      </c>
      <c r="C19" s="178"/>
      <c r="D19" s="178"/>
      <c r="E19" s="178"/>
      <c r="F19" s="179"/>
      <c r="G19" s="178"/>
      <c r="H19" s="179"/>
      <c r="I19" s="200" t="e">
        <f t="shared" si="1"/>
        <v>#DIV/0!</v>
      </c>
      <c r="J19" s="200" t="e">
        <f t="shared" si="2"/>
        <v>#DIV/0!</v>
      </c>
      <c r="K19" s="200" t="e">
        <f t="shared" si="3"/>
        <v>#DIV/0!</v>
      </c>
      <c r="L19" s="178">
        <f t="shared" si="4"/>
        <v>0</v>
      </c>
      <c r="M19" s="178">
        <f t="shared" si="5"/>
        <v>0</v>
      </c>
      <c r="N19" s="178">
        <f t="shared" si="6"/>
        <v>0</v>
      </c>
    </row>
    <row r="20" spans="1:14" ht="15.75">
      <c r="A20" s="204">
        <v>18030000</v>
      </c>
      <c r="B20" s="10" t="s">
        <v>20</v>
      </c>
      <c r="C20" s="178">
        <v>0.2</v>
      </c>
      <c r="D20" s="178">
        <v>2</v>
      </c>
      <c r="E20" s="178">
        <v>0.6</v>
      </c>
      <c r="F20" s="179">
        <f>E20-'за 1 кв'!E19</f>
        <v>0.19999999999999996</v>
      </c>
      <c r="G20" s="178">
        <f>1.5</f>
        <v>1.5</v>
      </c>
      <c r="H20" s="179">
        <f>G20-'за 1 кв'!G19</f>
        <v>0.2999999999999998</v>
      </c>
      <c r="I20" s="200">
        <f t="shared" si="1"/>
        <v>750</v>
      </c>
      <c r="J20" s="200">
        <f t="shared" si="2"/>
        <v>75</v>
      </c>
      <c r="K20" s="200">
        <f t="shared" si="3"/>
        <v>250</v>
      </c>
      <c r="L20" s="178">
        <f t="shared" si="4"/>
        <v>1.3</v>
      </c>
      <c r="M20" s="178">
        <f t="shared" si="5"/>
        <v>-0.5</v>
      </c>
      <c r="N20" s="178">
        <f t="shared" si="6"/>
        <v>0.9</v>
      </c>
    </row>
    <row r="21" spans="1:14" ht="26.25">
      <c r="A21" s="204">
        <v>18040000</v>
      </c>
      <c r="B21" s="11" t="s">
        <v>21</v>
      </c>
      <c r="C21" s="178">
        <v>72</v>
      </c>
      <c r="D21" s="178">
        <v>240</v>
      </c>
      <c r="E21" s="178">
        <v>79</v>
      </c>
      <c r="F21" s="179">
        <f>E21-'за 1 кв'!E20</f>
        <v>21</v>
      </c>
      <c r="G21" s="178">
        <v>88.9</v>
      </c>
      <c r="H21" s="179">
        <f>G21-'за 1 кв'!G20</f>
        <v>25.300000000000004</v>
      </c>
      <c r="I21" s="200">
        <f t="shared" si="1"/>
        <v>123.47222222222223</v>
      </c>
      <c r="J21" s="200">
        <f t="shared" si="2"/>
        <v>37.041666666666664</v>
      </c>
      <c r="K21" s="200">
        <f t="shared" si="3"/>
        <v>112.53164556962025</v>
      </c>
      <c r="L21" s="178">
        <f t="shared" si="4"/>
        <v>16.900000000000006</v>
      </c>
      <c r="M21" s="178">
        <f t="shared" si="5"/>
        <v>-151.1</v>
      </c>
      <c r="N21" s="178">
        <f t="shared" si="6"/>
        <v>9.900000000000006</v>
      </c>
    </row>
    <row r="22" spans="1:14" ht="26.25">
      <c r="A22" s="204">
        <v>19040100</v>
      </c>
      <c r="B22" s="11" t="s">
        <v>41</v>
      </c>
      <c r="C22" s="178">
        <v>0.1</v>
      </c>
      <c r="D22" s="178">
        <v>0</v>
      </c>
      <c r="E22" s="178">
        <v>0</v>
      </c>
      <c r="F22" s="179">
        <f>E22-'за 1 кв'!E21</f>
        <v>0</v>
      </c>
      <c r="G22" s="178">
        <v>0.1</v>
      </c>
      <c r="H22" s="179">
        <f>G22-'за 1 кв'!G21</f>
        <v>0</v>
      </c>
      <c r="I22" s="200">
        <f t="shared" si="1"/>
        <v>100</v>
      </c>
      <c r="J22" s="200" t="e">
        <f>G22/D22*100</f>
        <v>#DIV/0!</v>
      </c>
      <c r="K22" s="200" t="e">
        <f t="shared" si="3"/>
        <v>#DIV/0!</v>
      </c>
      <c r="L22" s="178">
        <f>G22-C22</f>
        <v>0</v>
      </c>
      <c r="M22" s="178">
        <f>G22-D22</f>
        <v>0.1</v>
      </c>
      <c r="N22" s="178">
        <f>G22-E22</f>
        <v>0.1</v>
      </c>
    </row>
    <row r="23" spans="1:14" ht="51">
      <c r="A23" s="44" t="s">
        <v>26</v>
      </c>
      <c r="B23" s="8" t="s">
        <v>162</v>
      </c>
      <c r="C23" s="178">
        <v>0.3</v>
      </c>
      <c r="D23" s="178">
        <v>0</v>
      </c>
      <c r="E23" s="178">
        <v>0</v>
      </c>
      <c r="F23" s="179">
        <f>E23-'за 1 кв'!E22</f>
        <v>0</v>
      </c>
      <c r="G23" s="178">
        <v>0</v>
      </c>
      <c r="H23" s="179">
        <f>G23-'за 1 кв'!G22</f>
        <v>0</v>
      </c>
      <c r="I23" s="200">
        <f t="shared" si="1"/>
        <v>0</v>
      </c>
      <c r="J23" s="200" t="e">
        <f t="shared" si="2"/>
        <v>#DIV/0!</v>
      </c>
      <c r="K23" s="200" t="e">
        <f t="shared" si="3"/>
        <v>#DIV/0!</v>
      </c>
      <c r="L23" s="178">
        <f t="shared" si="4"/>
        <v>-0.3</v>
      </c>
      <c r="M23" s="178">
        <f t="shared" si="5"/>
        <v>0</v>
      </c>
      <c r="N23" s="178">
        <f t="shared" si="6"/>
        <v>0</v>
      </c>
    </row>
    <row r="24" spans="1:14" ht="15.75">
      <c r="A24" s="203" t="s">
        <v>24</v>
      </c>
      <c r="B24" s="9" t="s">
        <v>25</v>
      </c>
      <c r="C24" s="178">
        <v>5.4</v>
      </c>
      <c r="D24" s="178">
        <v>15</v>
      </c>
      <c r="E24" s="178">
        <v>4.4</v>
      </c>
      <c r="F24" s="179">
        <f>E24-'за 1 кв'!E23</f>
        <v>0.5000000000000004</v>
      </c>
      <c r="G24" s="178">
        <v>11.7</v>
      </c>
      <c r="H24" s="179">
        <f>G24-'за 1 кв'!G23</f>
        <v>2.6999999999999993</v>
      </c>
      <c r="I24" s="200">
        <f t="shared" si="1"/>
        <v>216.66666666666666</v>
      </c>
      <c r="J24" s="200">
        <f t="shared" si="2"/>
        <v>77.99999999999999</v>
      </c>
      <c r="K24" s="200">
        <f t="shared" si="3"/>
        <v>265.9090909090909</v>
      </c>
      <c r="L24" s="178">
        <f t="shared" si="4"/>
        <v>6.299999999999999</v>
      </c>
      <c r="M24" s="178">
        <f t="shared" si="5"/>
        <v>-3.3000000000000007</v>
      </c>
      <c r="N24" s="178">
        <f t="shared" si="6"/>
        <v>7.299999999999999</v>
      </c>
    </row>
    <row r="25" spans="1:14" ht="41.25" customHeight="1">
      <c r="A25" s="203" t="s">
        <v>22</v>
      </c>
      <c r="B25" s="18" t="s">
        <v>23</v>
      </c>
      <c r="C25" s="178">
        <v>199.6</v>
      </c>
      <c r="D25" s="178">
        <v>645</v>
      </c>
      <c r="E25" s="178">
        <v>203.4</v>
      </c>
      <c r="F25" s="179">
        <f>E25-'за 1 кв'!E24</f>
        <v>56</v>
      </c>
      <c r="G25" s="178">
        <v>227.6</v>
      </c>
      <c r="H25" s="179">
        <f>G25-'за 1 кв'!G24</f>
        <v>71.29999999999998</v>
      </c>
      <c r="I25" s="200">
        <f t="shared" si="1"/>
        <v>114.02805611222445</v>
      </c>
      <c r="J25" s="200">
        <f t="shared" si="2"/>
        <v>35.286821705426355</v>
      </c>
      <c r="K25" s="200">
        <f t="shared" si="3"/>
        <v>111.897738446411</v>
      </c>
      <c r="L25" s="178">
        <f t="shared" si="4"/>
        <v>28</v>
      </c>
      <c r="M25" s="178">
        <f t="shared" si="5"/>
        <v>-417.4</v>
      </c>
      <c r="N25" s="178">
        <f t="shared" si="6"/>
        <v>24.19999999999999</v>
      </c>
    </row>
    <row r="26" spans="1:14" ht="31.5">
      <c r="A26" s="204" t="s">
        <v>55</v>
      </c>
      <c r="B26" s="10" t="s">
        <v>28</v>
      </c>
      <c r="C26" s="178">
        <v>151.9</v>
      </c>
      <c r="D26" s="178">
        <v>0</v>
      </c>
      <c r="E26" s="178">
        <v>0</v>
      </c>
      <c r="F26" s="179">
        <f>E26-'за 1 кв'!E25</f>
        <v>0</v>
      </c>
      <c r="G26" s="178">
        <f>16.2+0.7</f>
        <v>16.9</v>
      </c>
      <c r="H26" s="179">
        <f>G26-'за 1 кв'!G25</f>
        <v>0.1999999999999993</v>
      </c>
      <c r="I26" s="200">
        <f t="shared" si="1"/>
        <v>11.125740618828175</v>
      </c>
      <c r="J26" s="200" t="e">
        <f t="shared" si="2"/>
        <v>#DIV/0!</v>
      </c>
      <c r="K26" s="200" t="e">
        <f aca="true" t="shared" si="8" ref="K26:K56">G26/E26*100</f>
        <v>#DIV/0!</v>
      </c>
      <c r="L26" s="178">
        <f t="shared" si="4"/>
        <v>-135</v>
      </c>
      <c r="M26" s="178">
        <f t="shared" si="5"/>
        <v>16.9</v>
      </c>
      <c r="N26" s="178">
        <f t="shared" si="6"/>
        <v>16.9</v>
      </c>
    </row>
    <row r="27" spans="1:14" ht="0.75" customHeight="1" hidden="1">
      <c r="A27" s="204">
        <v>24060600</v>
      </c>
      <c r="B27" s="11" t="s">
        <v>29</v>
      </c>
      <c r="C27" s="178"/>
      <c r="D27" s="178"/>
      <c r="E27" s="178"/>
      <c r="F27" s="179">
        <f>E27-'за 1 кв'!E26</f>
        <v>0</v>
      </c>
      <c r="G27" s="178"/>
      <c r="H27" s="179">
        <f>G27-'за 1 кв'!G26</f>
        <v>0</v>
      </c>
      <c r="I27" s="200" t="e">
        <f t="shared" si="1"/>
        <v>#DIV/0!</v>
      </c>
      <c r="J27" s="200" t="e">
        <f t="shared" si="2"/>
        <v>#DIV/0!</v>
      </c>
      <c r="K27" s="200" t="e">
        <f t="shared" si="8"/>
        <v>#DIV/0!</v>
      </c>
      <c r="L27" s="178">
        <f t="shared" si="4"/>
        <v>0</v>
      </c>
      <c r="M27" s="178">
        <f t="shared" si="5"/>
        <v>0</v>
      </c>
      <c r="N27" s="178">
        <f t="shared" si="6"/>
        <v>0</v>
      </c>
    </row>
    <row r="28" spans="1:14" ht="64.5">
      <c r="A28" s="204">
        <v>31010200</v>
      </c>
      <c r="B28" s="11" t="s">
        <v>30</v>
      </c>
      <c r="C28" s="178">
        <v>0.6</v>
      </c>
      <c r="D28" s="178">
        <v>0</v>
      </c>
      <c r="E28" s="178">
        <v>0</v>
      </c>
      <c r="F28" s="179">
        <f>E28-'за 1 кв'!E27</f>
        <v>0</v>
      </c>
      <c r="G28" s="178">
        <v>0.1</v>
      </c>
      <c r="H28" s="179">
        <f>G28-'за 1 кв'!G27</f>
        <v>0</v>
      </c>
      <c r="I28" s="200">
        <f t="shared" si="1"/>
        <v>16.666666666666668</v>
      </c>
      <c r="J28" s="200" t="e">
        <f t="shared" si="2"/>
        <v>#DIV/0!</v>
      </c>
      <c r="K28" s="200" t="e">
        <f t="shared" si="8"/>
        <v>#DIV/0!</v>
      </c>
      <c r="L28" s="178">
        <f t="shared" si="4"/>
        <v>-0.5</v>
      </c>
      <c r="M28" s="178">
        <f t="shared" si="5"/>
        <v>0.1</v>
      </c>
      <c r="N28" s="178">
        <f t="shared" si="6"/>
        <v>0.1</v>
      </c>
    </row>
    <row r="29" spans="1:14" s="102" customFormat="1" ht="30" customHeight="1">
      <c r="A29" s="301" t="s">
        <v>31</v>
      </c>
      <c r="B29" s="301"/>
      <c r="C29" s="180">
        <f aca="true" t="shared" si="9" ref="C29:H29">SUM(C15:C28)-C18</f>
        <v>4881.6</v>
      </c>
      <c r="D29" s="180">
        <f t="shared" si="9"/>
        <v>15202</v>
      </c>
      <c r="E29" s="180">
        <f t="shared" si="9"/>
        <v>4895.499999999999</v>
      </c>
      <c r="F29" s="180">
        <f t="shared" si="9"/>
        <v>1264.4999999999998</v>
      </c>
      <c r="G29" s="180">
        <f>SUM(G15:G28)-G18</f>
        <v>5338.3</v>
      </c>
      <c r="H29" s="180">
        <f t="shared" si="9"/>
        <v>1284.8</v>
      </c>
      <c r="I29" s="201">
        <f t="shared" si="1"/>
        <v>109.35553916748606</v>
      </c>
      <c r="J29" s="201">
        <f t="shared" si="2"/>
        <v>35.11577424023155</v>
      </c>
      <c r="K29" s="201">
        <f t="shared" si="8"/>
        <v>109.04504136451847</v>
      </c>
      <c r="L29" s="180">
        <f t="shared" si="4"/>
        <v>456.6999999999998</v>
      </c>
      <c r="M29" s="180">
        <f t="shared" si="5"/>
        <v>-9863.7</v>
      </c>
      <c r="N29" s="180">
        <f t="shared" si="6"/>
        <v>442.8000000000011</v>
      </c>
    </row>
    <row r="30" spans="1:14" ht="25.5" customHeight="1">
      <c r="A30" s="299" t="s">
        <v>35</v>
      </c>
      <c r="B30" s="299"/>
      <c r="C30" s="22">
        <f aca="true" t="shared" si="10" ref="C30:H30">C14+C29</f>
        <v>32313.300000000003</v>
      </c>
      <c r="D30" s="22">
        <f t="shared" si="10"/>
        <v>117320.2</v>
      </c>
      <c r="E30" s="22">
        <f t="shared" si="10"/>
        <v>38553.3</v>
      </c>
      <c r="F30" s="22">
        <f t="shared" si="10"/>
        <v>9116.999999999998</v>
      </c>
      <c r="G30" s="22">
        <f t="shared" si="10"/>
        <v>39660.00000000001</v>
      </c>
      <c r="H30" s="22">
        <f t="shared" si="10"/>
        <v>8911.500000000002</v>
      </c>
      <c r="I30" s="25">
        <f t="shared" si="1"/>
        <v>122.73583942215744</v>
      </c>
      <c r="J30" s="25">
        <f t="shared" si="2"/>
        <v>33.804920209818945</v>
      </c>
      <c r="K30" s="25">
        <f t="shared" si="8"/>
        <v>102.8705713907759</v>
      </c>
      <c r="L30" s="22">
        <f t="shared" si="4"/>
        <v>7346.700000000004</v>
      </c>
      <c r="M30" s="22">
        <f t="shared" si="5"/>
        <v>-77660.19999999998</v>
      </c>
      <c r="N30" s="22">
        <f t="shared" si="6"/>
        <v>1106.7000000000044</v>
      </c>
    </row>
    <row r="31" spans="1:14" ht="26.25">
      <c r="A31" s="205">
        <v>40000000</v>
      </c>
      <c r="B31" s="20" t="s">
        <v>32</v>
      </c>
      <c r="C31" s="180">
        <f aca="true" t="shared" si="11" ref="C31:H31">SUM(C32:C33)</f>
        <v>7398.2</v>
      </c>
      <c r="D31" s="180">
        <f t="shared" si="11"/>
        <v>33836.2</v>
      </c>
      <c r="E31" s="180">
        <f t="shared" si="11"/>
        <v>9982.7</v>
      </c>
      <c r="F31" s="180">
        <f t="shared" si="11"/>
        <v>2818.800000000002</v>
      </c>
      <c r="G31" s="180">
        <f t="shared" si="11"/>
        <v>9669.6</v>
      </c>
      <c r="H31" s="180">
        <f t="shared" si="11"/>
        <v>2745.2000000000016</v>
      </c>
      <c r="I31" s="201">
        <f t="shared" si="1"/>
        <v>130.7020626638912</v>
      </c>
      <c r="J31" s="201">
        <f t="shared" si="2"/>
        <v>28.577677162329106</v>
      </c>
      <c r="K31" s="201">
        <f t="shared" si="8"/>
        <v>96.86357398299057</v>
      </c>
      <c r="L31" s="180">
        <f t="shared" si="4"/>
        <v>2271.4000000000005</v>
      </c>
      <c r="M31" s="180">
        <f t="shared" si="5"/>
        <v>-24166.6</v>
      </c>
      <c r="N31" s="180">
        <f t="shared" si="6"/>
        <v>-313.10000000000036</v>
      </c>
    </row>
    <row r="32" spans="1:14" ht="15.75">
      <c r="A32" s="206">
        <v>41020000</v>
      </c>
      <c r="B32" s="11" t="s">
        <v>33</v>
      </c>
      <c r="C32" s="178">
        <v>27.4</v>
      </c>
      <c r="D32" s="178">
        <v>6000</v>
      </c>
      <c r="E32" s="178">
        <v>352.3</v>
      </c>
      <c r="F32" s="179">
        <f>E32-'за 1 кв'!E31</f>
        <v>352.3</v>
      </c>
      <c r="G32" s="178">
        <v>352.3</v>
      </c>
      <c r="H32" s="179">
        <f>G32-'за 1 кв'!G31</f>
        <v>352.3</v>
      </c>
      <c r="I32" s="200">
        <f t="shared" si="1"/>
        <v>1285.7664233576645</v>
      </c>
      <c r="J32" s="200">
        <f t="shared" si="2"/>
        <v>5.871666666666667</v>
      </c>
      <c r="K32" s="200">
        <f t="shared" si="8"/>
        <v>100</v>
      </c>
      <c r="L32" s="178">
        <f t="shared" si="4"/>
        <v>324.90000000000003</v>
      </c>
      <c r="M32" s="178">
        <f t="shared" si="5"/>
        <v>-5647.7</v>
      </c>
      <c r="N32" s="178">
        <f t="shared" si="6"/>
        <v>0</v>
      </c>
    </row>
    <row r="33" spans="1:14" ht="15.75">
      <c r="A33" s="206">
        <v>41030000</v>
      </c>
      <c r="B33" s="11" t="s">
        <v>34</v>
      </c>
      <c r="C33" s="178">
        <v>7370.8</v>
      </c>
      <c r="D33" s="178">
        <v>27836.2</v>
      </c>
      <c r="E33" s="178">
        <f>9982.7-352.3</f>
        <v>9630.400000000001</v>
      </c>
      <c r="F33" s="179">
        <f>E33-'за 1 кв'!E32</f>
        <v>2466.500000000002</v>
      </c>
      <c r="G33" s="178">
        <f>9669.6-352.3</f>
        <v>9317.300000000001</v>
      </c>
      <c r="H33" s="179">
        <f>G33-'за 1 кв'!G32</f>
        <v>2392.9000000000015</v>
      </c>
      <c r="I33" s="200">
        <f t="shared" si="1"/>
        <v>126.4082596190373</v>
      </c>
      <c r="J33" s="200">
        <f t="shared" si="2"/>
        <v>33.47188193790819</v>
      </c>
      <c r="K33" s="200">
        <f t="shared" si="8"/>
        <v>96.74883701611563</v>
      </c>
      <c r="L33" s="178">
        <f t="shared" si="4"/>
        <v>1946.500000000001</v>
      </c>
      <c r="M33" s="178">
        <f t="shared" si="5"/>
        <v>-18518.9</v>
      </c>
      <c r="N33" s="178">
        <f t="shared" si="6"/>
        <v>-313.10000000000036</v>
      </c>
    </row>
    <row r="34" spans="1:14" ht="40.5" customHeight="1">
      <c r="A34" s="302" t="s">
        <v>50</v>
      </c>
      <c r="B34" s="302"/>
      <c r="C34" s="23">
        <f aca="true" t="shared" si="12" ref="C34:H34">C30+C31</f>
        <v>39711.5</v>
      </c>
      <c r="D34" s="23">
        <f>D30+D31</f>
        <v>151156.4</v>
      </c>
      <c r="E34" s="23">
        <f t="shared" si="12"/>
        <v>48536</v>
      </c>
      <c r="F34" s="23">
        <f t="shared" si="12"/>
        <v>11935.8</v>
      </c>
      <c r="G34" s="23">
        <f t="shared" si="12"/>
        <v>49329.600000000006</v>
      </c>
      <c r="H34" s="23">
        <f t="shared" si="12"/>
        <v>11656.700000000004</v>
      </c>
      <c r="I34" s="26">
        <f t="shared" si="1"/>
        <v>124.21993629049521</v>
      </c>
      <c r="J34" s="26">
        <f t="shared" si="2"/>
        <v>32.63480739154942</v>
      </c>
      <c r="K34" s="26">
        <f t="shared" si="8"/>
        <v>101.63507499587936</v>
      </c>
      <c r="L34" s="23">
        <f t="shared" si="4"/>
        <v>9618.100000000006</v>
      </c>
      <c r="M34" s="23">
        <f t="shared" si="5"/>
        <v>-101826.79999999999</v>
      </c>
      <c r="N34" s="23">
        <f t="shared" si="6"/>
        <v>793.6000000000058</v>
      </c>
    </row>
    <row r="35" spans="1:14" ht="24" customHeight="1">
      <c r="A35" s="300" t="s">
        <v>37</v>
      </c>
      <c r="B35" s="300"/>
      <c r="C35" s="300"/>
      <c r="D35" s="300"/>
      <c r="E35" s="300"/>
      <c r="F35" s="300"/>
      <c r="G35" s="300"/>
      <c r="H35" s="300"/>
      <c r="I35" s="300"/>
      <c r="J35" s="300"/>
      <c r="K35" s="300"/>
      <c r="L35" s="300"/>
      <c r="M35" s="300"/>
      <c r="N35" s="300"/>
    </row>
    <row r="36" spans="1:14" ht="27.75" customHeight="1">
      <c r="A36" s="301" t="s">
        <v>165</v>
      </c>
      <c r="B36" s="301"/>
      <c r="C36" s="180">
        <f aca="true" t="shared" si="13" ref="C36:H36">SUM(C37:C39)</f>
        <v>115.10000000000001</v>
      </c>
      <c r="D36" s="180">
        <f t="shared" si="13"/>
        <v>48</v>
      </c>
      <c r="E36" s="180">
        <f t="shared" si="13"/>
        <v>14.899999999999999</v>
      </c>
      <c r="F36" s="180">
        <f t="shared" si="13"/>
        <v>3.3</v>
      </c>
      <c r="G36" s="180">
        <f t="shared" si="13"/>
        <v>53.2</v>
      </c>
      <c r="H36" s="180">
        <f t="shared" si="13"/>
        <v>5.399999999999999</v>
      </c>
      <c r="I36" s="207">
        <f t="shared" si="1"/>
        <v>46.22067767158992</v>
      </c>
      <c r="J36" s="207">
        <f t="shared" si="2"/>
        <v>110.83333333333334</v>
      </c>
      <c r="K36" s="207">
        <f t="shared" si="8"/>
        <v>357.04697986577185</v>
      </c>
      <c r="L36" s="208">
        <f t="shared" si="4"/>
        <v>-61.900000000000006</v>
      </c>
      <c r="M36" s="208">
        <f t="shared" si="5"/>
        <v>5.200000000000003</v>
      </c>
      <c r="N36" s="208">
        <f t="shared" si="6"/>
        <v>38.300000000000004</v>
      </c>
    </row>
    <row r="37" spans="1:14" ht="26.25">
      <c r="A37" s="204">
        <v>12020000</v>
      </c>
      <c r="B37" s="11" t="s">
        <v>38</v>
      </c>
      <c r="C37" s="178">
        <v>100</v>
      </c>
      <c r="D37" s="178">
        <v>0</v>
      </c>
      <c r="E37" s="178">
        <v>0</v>
      </c>
      <c r="F37" s="179">
        <f>E37-'за 1 кв'!E36</f>
        <v>0</v>
      </c>
      <c r="G37" s="178">
        <v>31.5</v>
      </c>
      <c r="H37" s="179">
        <f>G37-'за 1 кв'!G36</f>
        <v>0.6999999999999993</v>
      </c>
      <c r="I37" s="200">
        <f t="shared" si="1"/>
        <v>31.5</v>
      </c>
      <c r="J37" s="200" t="e">
        <f t="shared" si="2"/>
        <v>#DIV/0!</v>
      </c>
      <c r="K37" s="200" t="e">
        <f t="shared" si="8"/>
        <v>#DIV/0!</v>
      </c>
      <c r="L37" s="178">
        <f t="shared" si="4"/>
        <v>-68.5</v>
      </c>
      <c r="M37" s="178">
        <f t="shared" si="5"/>
        <v>31.5</v>
      </c>
      <c r="N37" s="178">
        <f t="shared" si="6"/>
        <v>31.5</v>
      </c>
    </row>
    <row r="38" spans="1:14" ht="26.25">
      <c r="A38" s="204">
        <v>12030000</v>
      </c>
      <c r="B38" s="11" t="s">
        <v>39</v>
      </c>
      <c r="C38" s="178">
        <v>8.2</v>
      </c>
      <c r="D38" s="178">
        <v>24</v>
      </c>
      <c r="E38" s="178">
        <v>6.8</v>
      </c>
      <c r="F38" s="179">
        <f>E38-'за 1 кв'!E37</f>
        <v>1.5</v>
      </c>
      <c r="G38" s="178">
        <v>5.5</v>
      </c>
      <c r="H38" s="179">
        <f>G38-'за 1 кв'!G37</f>
        <v>2.6</v>
      </c>
      <c r="I38" s="200">
        <f t="shared" si="1"/>
        <v>67.07317073170732</v>
      </c>
      <c r="J38" s="200">
        <f t="shared" si="2"/>
        <v>22.916666666666664</v>
      </c>
      <c r="K38" s="200">
        <f t="shared" si="8"/>
        <v>80.88235294117648</v>
      </c>
      <c r="L38" s="178">
        <f t="shared" si="4"/>
        <v>-2.6999999999999993</v>
      </c>
      <c r="M38" s="178">
        <f t="shared" si="5"/>
        <v>-18.5</v>
      </c>
      <c r="N38" s="178">
        <f t="shared" si="6"/>
        <v>-1.2999999999999998</v>
      </c>
    </row>
    <row r="39" spans="1:14" ht="79.5" customHeight="1">
      <c r="A39" s="204">
        <v>18041500</v>
      </c>
      <c r="B39" s="11" t="s">
        <v>40</v>
      </c>
      <c r="C39" s="178">
        <v>6.9</v>
      </c>
      <c r="D39" s="178">
        <v>24</v>
      </c>
      <c r="E39" s="178">
        <v>8.1</v>
      </c>
      <c r="F39" s="179">
        <f>E39-'за 1 кв'!E38</f>
        <v>1.7999999999999998</v>
      </c>
      <c r="G39" s="178">
        <v>16.2</v>
      </c>
      <c r="H39" s="179">
        <f>G39-'за 1 кв'!G38</f>
        <v>2.0999999999999996</v>
      </c>
      <c r="I39" s="200">
        <f>G39/C39*100</f>
        <v>234.78260869565216</v>
      </c>
      <c r="J39" s="200">
        <f>G39/D39*100</f>
        <v>67.5</v>
      </c>
      <c r="K39" s="200">
        <f>G39/E39*100</f>
        <v>200</v>
      </c>
      <c r="L39" s="178">
        <f t="shared" si="4"/>
        <v>9.299999999999999</v>
      </c>
      <c r="M39" s="178">
        <f t="shared" si="5"/>
        <v>-7.800000000000001</v>
      </c>
      <c r="N39" s="178">
        <f t="shared" si="6"/>
        <v>8.1</v>
      </c>
    </row>
    <row r="40" spans="1:14" ht="28.5" customHeight="1">
      <c r="A40" s="301" t="s">
        <v>166</v>
      </c>
      <c r="B40" s="301"/>
      <c r="C40" s="208">
        <f aca="true" t="shared" si="14" ref="C40:H40">SUM(C41:C43)</f>
        <v>16.6</v>
      </c>
      <c r="D40" s="208">
        <f t="shared" si="14"/>
        <v>200</v>
      </c>
      <c r="E40" s="208">
        <f t="shared" si="14"/>
        <v>50</v>
      </c>
      <c r="F40" s="208">
        <f t="shared" si="14"/>
        <v>0</v>
      </c>
      <c r="G40" s="208">
        <f t="shared" si="14"/>
        <v>48.7</v>
      </c>
      <c r="H40" s="208">
        <f t="shared" si="14"/>
        <v>0.6</v>
      </c>
      <c r="I40" s="207">
        <f t="shared" si="1"/>
        <v>293.3734939759036</v>
      </c>
      <c r="J40" s="207">
        <f t="shared" si="2"/>
        <v>24.35</v>
      </c>
      <c r="K40" s="207">
        <f t="shared" si="8"/>
        <v>97.4</v>
      </c>
      <c r="L40" s="208">
        <f t="shared" si="4"/>
        <v>32.1</v>
      </c>
      <c r="M40" s="208">
        <f t="shared" si="5"/>
        <v>-151.3</v>
      </c>
      <c r="N40" s="208">
        <f t="shared" si="6"/>
        <v>-1.2999999999999972</v>
      </c>
    </row>
    <row r="41" spans="1:14" ht="15.75">
      <c r="A41" s="204">
        <v>19010000</v>
      </c>
      <c r="B41" s="11" t="s">
        <v>42</v>
      </c>
      <c r="C41" s="178">
        <v>0</v>
      </c>
      <c r="D41" s="178">
        <v>200</v>
      </c>
      <c r="E41" s="178">
        <v>50</v>
      </c>
      <c r="F41" s="179">
        <f>E41-'за 1 кв'!E40</f>
        <v>0</v>
      </c>
      <c r="G41" s="178">
        <v>48.6</v>
      </c>
      <c r="H41" s="179">
        <f>G41-'за 1 кв'!G40</f>
        <v>0.5</v>
      </c>
      <c r="I41" s="200" t="e">
        <f t="shared" si="1"/>
        <v>#DIV/0!</v>
      </c>
      <c r="J41" s="200">
        <f t="shared" si="2"/>
        <v>24.3</v>
      </c>
      <c r="K41" s="200">
        <f t="shared" si="8"/>
        <v>97.2</v>
      </c>
      <c r="L41" s="178">
        <f t="shared" si="4"/>
        <v>48.6</v>
      </c>
      <c r="M41" s="178">
        <f t="shared" si="5"/>
        <v>-151.4</v>
      </c>
      <c r="N41" s="178">
        <f t="shared" si="6"/>
        <v>-1.3999999999999986</v>
      </c>
    </row>
    <row r="42" spans="1:14" ht="26.25">
      <c r="A42" s="204">
        <v>19050000</v>
      </c>
      <c r="B42" s="11" t="s">
        <v>43</v>
      </c>
      <c r="C42" s="178">
        <v>16.5</v>
      </c>
      <c r="D42" s="178">
        <v>0</v>
      </c>
      <c r="E42" s="178">
        <v>0</v>
      </c>
      <c r="F42" s="179">
        <f>E42-'за 1 кв'!E41</f>
        <v>0</v>
      </c>
      <c r="G42" s="178">
        <v>0.1</v>
      </c>
      <c r="H42" s="179">
        <f>G42-'за 1 кв'!G41</f>
        <v>0.1</v>
      </c>
      <c r="I42" s="200">
        <f t="shared" si="1"/>
        <v>0.6060606060606061</v>
      </c>
      <c r="J42" s="200" t="e">
        <f t="shared" si="2"/>
        <v>#DIV/0!</v>
      </c>
      <c r="K42" s="200" t="e">
        <f t="shared" si="8"/>
        <v>#DIV/0!</v>
      </c>
      <c r="L42" s="178">
        <f t="shared" si="4"/>
        <v>-16.4</v>
      </c>
      <c r="M42" s="178">
        <f t="shared" si="5"/>
        <v>0.1</v>
      </c>
      <c r="N42" s="178">
        <f t="shared" si="6"/>
        <v>0.1</v>
      </c>
    </row>
    <row r="43" spans="1:14" ht="64.5">
      <c r="A43" s="204">
        <v>24062100</v>
      </c>
      <c r="B43" s="11" t="s">
        <v>56</v>
      </c>
      <c r="C43" s="178">
        <v>0.1</v>
      </c>
      <c r="D43" s="178">
        <v>0</v>
      </c>
      <c r="E43" s="178">
        <v>0</v>
      </c>
      <c r="F43" s="179">
        <f>E43-'за 1 кв'!E42</f>
        <v>0</v>
      </c>
      <c r="G43" s="178">
        <v>0</v>
      </c>
      <c r="H43" s="179">
        <f>G43-'за 1 кв'!G42</f>
        <v>0</v>
      </c>
      <c r="I43" s="200">
        <f t="shared" si="1"/>
        <v>0</v>
      </c>
      <c r="J43" s="200" t="e">
        <f t="shared" si="2"/>
        <v>#DIV/0!</v>
      </c>
      <c r="K43" s="200" t="e">
        <f t="shared" si="8"/>
        <v>#DIV/0!</v>
      </c>
      <c r="L43" s="178">
        <f t="shared" si="4"/>
        <v>-0.1</v>
      </c>
      <c r="M43" s="178">
        <f t="shared" si="5"/>
        <v>0</v>
      </c>
      <c r="N43" s="178">
        <f t="shared" si="6"/>
        <v>0</v>
      </c>
    </row>
    <row r="44" spans="1:14" ht="27" customHeight="1">
      <c r="A44" s="301" t="s">
        <v>167</v>
      </c>
      <c r="B44" s="301"/>
      <c r="C44" s="208">
        <f aca="true" t="shared" si="15" ref="C44:H44">SUM(C45:C47)</f>
        <v>610.5</v>
      </c>
      <c r="D44" s="208">
        <f t="shared" si="15"/>
        <v>1800</v>
      </c>
      <c r="E44" s="208">
        <f t="shared" si="15"/>
        <v>588.6</v>
      </c>
      <c r="F44" s="208">
        <f t="shared" si="15"/>
        <v>148.3</v>
      </c>
      <c r="G44" s="208">
        <f t="shared" si="15"/>
        <v>773.3000000000001</v>
      </c>
      <c r="H44" s="208">
        <f t="shared" si="15"/>
        <v>320.70000000000005</v>
      </c>
      <c r="I44" s="207">
        <f t="shared" si="1"/>
        <v>126.66666666666669</v>
      </c>
      <c r="J44" s="207">
        <f t="shared" si="2"/>
        <v>42.961111111111116</v>
      </c>
      <c r="K44" s="207">
        <f t="shared" si="8"/>
        <v>131.37954468229697</v>
      </c>
      <c r="L44" s="208">
        <f t="shared" si="4"/>
        <v>162.80000000000007</v>
      </c>
      <c r="M44" s="208">
        <f t="shared" si="5"/>
        <v>-1026.6999999999998</v>
      </c>
      <c r="N44" s="208">
        <f t="shared" si="6"/>
        <v>184.70000000000005</v>
      </c>
    </row>
    <row r="45" spans="1:14" ht="15.75">
      <c r="A45" s="204">
        <v>18050000</v>
      </c>
      <c r="B45" s="11" t="s">
        <v>44</v>
      </c>
      <c r="C45" s="178">
        <v>610.5</v>
      </c>
      <c r="D45" s="178">
        <v>1800</v>
      </c>
      <c r="E45" s="178">
        <v>588.6</v>
      </c>
      <c r="F45" s="179">
        <f>E45-'за 1 кв'!E44</f>
        <v>148.3</v>
      </c>
      <c r="G45" s="178">
        <v>773.2</v>
      </c>
      <c r="H45" s="179">
        <f>G45-'за 1 кв'!G44</f>
        <v>320.70000000000005</v>
      </c>
      <c r="I45" s="209">
        <f>G45/C45*100</f>
        <v>126.65028665028666</v>
      </c>
      <c r="J45" s="209">
        <f>G45/D45*100</f>
        <v>42.955555555555556</v>
      </c>
      <c r="K45" s="209">
        <f>G45/E45*100</f>
        <v>131.36255521576624</v>
      </c>
      <c r="L45" s="210">
        <f t="shared" si="4"/>
        <v>162.70000000000005</v>
      </c>
      <c r="M45" s="210">
        <f t="shared" si="5"/>
        <v>-1026.8</v>
      </c>
      <c r="N45" s="210">
        <f t="shared" si="6"/>
        <v>184.60000000000002</v>
      </c>
    </row>
    <row r="46" spans="1:14" ht="39">
      <c r="A46" s="206">
        <v>31030000</v>
      </c>
      <c r="B46" s="11" t="s">
        <v>45</v>
      </c>
      <c r="C46" s="178">
        <v>0</v>
      </c>
      <c r="D46" s="178">
        <v>0</v>
      </c>
      <c r="E46" s="178">
        <v>0</v>
      </c>
      <c r="F46" s="179">
        <f>E46-'за 1 кв'!E45</f>
        <v>0</v>
      </c>
      <c r="G46" s="178">
        <v>0.1</v>
      </c>
      <c r="H46" s="179">
        <f>G46-'за 1 кв'!G45</f>
        <v>0</v>
      </c>
      <c r="I46" s="209" t="e">
        <f t="shared" si="1"/>
        <v>#DIV/0!</v>
      </c>
      <c r="J46" s="209" t="e">
        <f t="shared" si="2"/>
        <v>#DIV/0!</v>
      </c>
      <c r="K46" s="209" t="e">
        <f t="shared" si="8"/>
        <v>#DIV/0!</v>
      </c>
      <c r="L46" s="210">
        <f t="shared" si="4"/>
        <v>0.1</v>
      </c>
      <c r="M46" s="210">
        <f t="shared" si="5"/>
        <v>0.1</v>
      </c>
      <c r="N46" s="210">
        <f t="shared" si="6"/>
        <v>0.1</v>
      </c>
    </row>
    <row r="47" spans="1:14" ht="15.75" hidden="1">
      <c r="A47" s="206">
        <v>33010000</v>
      </c>
      <c r="B47" s="11" t="s">
        <v>46</v>
      </c>
      <c r="C47" s="178"/>
      <c r="D47" s="178"/>
      <c r="E47" s="178"/>
      <c r="F47" s="179">
        <f>E47-'за 1 кв'!E46</f>
        <v>0</v>
      </c>
      <c r="G47" s="178"/>
      <c r="H47" s="179">
        <f>G47-'за 1 кв'!G46</f>
        <v>0</v>
      </c>
      <c r="I47" s="209" t="e">
        <f t="shared" si="1"/>
        <v>#DIV/0!</v>
      </c>
      <c r="J47" s="209" t="e">
        <f t="shared" si="2"/>
        <v>#DIV/0!</v>
      </c>
      <c r="K47" s="209" t="e">
        <f t="shared" si="8"/>
        <v>#DIV/0!</v>
      </c>
      <c r="L47" s="210">
        <f t="shared" si="4"/>
        <v>0</v>
      </c>
      <c r="M47" s="210">
        <f t="shared" si="5"/>
        <v>0</v>
      </c>
      <c r="N47" s="210">
        <f t="shared" si="6"/>
        <v>0</v>
      </c>
    </row>
    <row r="48" spans="1:14" ht="17.25" customHeight="1">
      <c r="A48" s="297" t="s">
        <v>47</v>
      </c>
      <c r="B48" s="297"/>
      <c r="C48" s="208">
        <v>17.3</v>
      </c>
      <c r="D48" s="208">
        <v>0</v>
      </c>
      <c r="E48" s="208">
        <v>0</v>
      </c>
      <c r="F48" s="179">
        <f>E48-'за 1 кв'!E47</f>
        <v>0</v>
      </c>
      <c r="G48" s="208">
        <v>46.4</v>
      </c>
      <c r="H48" s="179">
        <f>G48-'за 1 кв'!G47</f>
        <v>40.5</v>
      </c>
      <c r="I48" s="207">
        <f>G48/C48*100</f>
        <v>268.2080924855491</v>
      </c>
      <c r="J48" s="207" t="e">
        <f t="shared" si="2"/>
        <v>#DIV/0!</v>
      </c>
      <c r="K48" s="207" t="e">
        <f t="shared" si="8"/>
        <v>#DIV/0!</v>
      </c>
      <c r="L48" s="208">
        <f t="shared" si="4"/>
        <v>29.099999999999998</v>
      </c>
      <c r="M48" s="208">
        <f t="shared" si="5"/>
        <v>46.4</v>
      </c>
      <c r="N48" s="208">
        <f t="shared" si="6"/>
        <v>46.4</v>
      </c>
    </row>
    <row r="49" spans="1:14" ht="22.5" customHeight="1">
      <c r="A49" s="211" t="s">
        <v>51</v>
      </c>
      <c r="B49" s="21"/>
      <c r="C49" s="208">
        <v>2207</v>
      </c>
      <c r="D49" s="208">
        <v>3810.1</v>
      </c>
      <c r="E49" s="208">
        <f>3810/12*4</f>
        <v>1270</v>
      </c>
      <c r="F49" s="179">
        <f>E49-'за 1 кв'!E48</f>
        <v>328.04999999999995</v>
      </c>
      <c r="G49" s="208">
        <v>1666</v>
      </c>
      <c r="H49" s="179">
        <f>G49-'за 1 кв'!G48</f>
        <v>434.3000000000002</v>
      </c>
      <c r="I49" s="207">
        <f>G49/C49*100</f>
        <v>75.4870865428183</v>
      </c>
      <c r="J49" s="207">
        <f>G49/D49*100</f>
        <v>43.72588645967298</v>
      </c>
      <c r="K49" s="207">
        <f>G49/E49*100</f>
        <v>131.18110236220474</v>
      </c>
      <c r="L49" s="208">
        <f>G49-C49</f>
        <v>-541</v>
      </c>
      <c r="M49" s="208">
        <f>G49-D49</f>
        <v>-2144.1</v>
      </c>
      <c r="N49" s="208">
        <f>G49-E49</f>
        <v>396</v>
      </c>
    </row>
    <row r="50" spans="1:14" ht="24.75" customHeight="1">
      <c r="A50" s="19" t="s">
        <v>48</v>
      </c>
      <c r="B50" s="217"/>
      <c r="C50" s="22">
        <f aca="true" t="shared" si="16" ref="C50:H50">C36+C40+C44+C48+C49</f>
        <v>2966.5</v>
      </c>
      <c r="D50" s="22">
        <f t="shared" si="16"/>
        <v>5858.1</v>
      </c>
      <c r="E50" s="22">
        <f t="shared" si="16"/>
        <v>1923.5</v>
      </c>
      <c r="F50" s="22">
        <f t="shared" si="16"/>
        <v>479.65</v>
      </c>
      <c r="G50" s="22">
        <f t="shared" si="16"/>
        <v>2587.6</v>
      </c>
      <c r="H50" s="22">
        <f t="shared" si="16"/>
        <v>801.5000000000002</v>
      </c>
      <c r="I50" s="25">
        <f>G50/C50*100</f>
        <v>87.22737232428787</v>
      </c>
      <c r="J50" s="25">
        <f>G50/D50*100</f>
        <v>44.17131834553865</v>
      </c>
      <c r="K50" s="25">
        <f>G50/E50*100</f>
        <v>134.52560436703925</v>
      </c>
      <c r="L50" s="22">
        <f>G50-C50</f>
        <v>-378.9000000000001</v>
      </c>
      <c r="M50" s="22">
        <f>G50-D50</f>
        <v>-3270.5000000000005</v>
      </c>
      <c r="N50" s="22">
        <f>G50-E50</f>
        <v>664.0999999999999</v>
      </c>
    </row>
    <row r="51" spans="1:14" ht="28.5" customHeight="1">
      <c r="A51" s="205">
        <v>40000000</v>
      </c>
      <c r="B51" s="20" t="s">
        <v>32</v>
      </c>
      <c r="C51" s="180">
        <f aca="true" t="shared" si="17" ref="C51:H51">SUM(C52:C54)</f>
        <v>703.3</v>
      </c>
      <c r="D51" s="180">
        <f t="shared" si="17"/>
        <v>6271.2</v>
      </c>
      <c r="E51" s="180">
        <f t="shared" si="17"/>
        <v>2140.1</v>
      </c>
      <c r="F51" s="180">
        <f t="shared" si="17"/>
        <v>494.1999999999999</v>
      </c>
      <c r="G51" s="180">
        <f t="shared" si="17"/>
        <v>1989.4</v>
      </c>
      <c r="H51" s="180">
        <f t="shared" si="17"/>
        <v>455.1999999999999</v>
      </c>
      <c r="I51" s="201">
        <f t="shared" si="1"/>
        <v>282.86648656334427</v>
      </c>
      <c r="J51" s="201">
        <f t="shared" si="2"/>
        <v>31.72279627503508</v>
      </c>
      <c r="K51" s="201">
        <f t="shared" si="8"/>
        <v>92.95827297789823</v>
      </c>
      <c r="L51" s="180">
        <f t="shared" si="4"/>
        <v>1286.1000000000001</v>
      </c>
      <c r="M51" s="180">
        <f t="shared" si="5"/>
        <v>-4281.799999999999</v>
      </c>
      <c r="N51" s="180">
        <f t="shared" si="6"/>
        <v>-150.69999999999982</v>
      </c>
    </row>
    <row r="52" spans="1:14" ht="67.5" customHeight="1">
      <c r="A52" s="206">
        <v>41034401</v>
      </c>
      <c r="B52" s="11" t="s">
        <v>161</v>
      </c>
      <c r="C52" s="210">
        <v>0</v>
      </c>
      <c r="D52" s="210">
        <v>1136.1</v>
      </c>
      <c r="E52" s="210">
        <f>339+4.9</f>
        <v>343.9</v>
      </c>
      <c r="F52" s="179">
        <f>E52-'за 1 кв'!E51</f>
        <v>92.59999999999997</v>
      </c>
      <c r="G52" s="210">
        <v>343.9</v>
      </c>
      <c r="H52" s="179">
        <f>G52-'за 1 кв'!G51</f>
        <v>92.59999999999997</v>
      </c>
      <c r="I52" s="209" t="e">
        <f t="shared" si="1"/>
        <v>#DIV/0!</v>
      </c>
      <c r="J52" s="209">
        <f t="shared" si="2"/>
        <v>30.27022269166447</v>
      </c>
      <c r="K52" s="209">
        <f t="shared" si="8"/>
        <v>100</v>
      </c>
      <c r="L52" s="210">
        <f t="shared" si="4"/>
        <v>343.9</v>
      </c>
      <c r="M52" s="210">
        <f t="shared" si="5"/>
        <v>-792.1999999999999</v>
      </c>
      <c r="N52" s="210">
        <f t="shared" si="6"/>
        <v>0</v>
      </c>
    </row>
    <row r="53" spans="1:14" ht="21.75" customHeight="1">
      <c r="A53" s="206">
        <v>41035001</v>
      </c>
      <c r="B53" s="11" t="s">
        <v>163</v>
      </c>
      <c r="C53" s="210">
        <v>0</v>
      </c>
      <c r="D53" s="210">
        <v>505.3</v>
      </c>
      <c r="E53" s="210">
        <v>150.7</v>
      </c>
      <c r="F53" s="179">
        <f>E53-'за 1 кв'!E52</f>
        <v>38.999999999999986</v>
      </c>
      <c r="G53" s="210">
        <v>0</v>
      </c>
      <c r="H53" s="179">
        <f>G53-'за 1 кв'!G52</f>
        <v>0</v>
      </c>
      <c r="I53" s="209" t="e">
        <f>G53/C53*100</f>
        <v>#DIV/0!</v>
      </c>
      <c r="J53" s="209">
        <f>G53/D53*100</f>
        <v>0</v>
      </c>
      <c r="K53" s="209">
        <f>G53/E53*100</f>
        <v>0</v>
      </c>
      <c r="L53" s="210">
        <f>G53-C53</f>
        <v>0</v>
      </c>
      <c r="M53" s="210">
        <f>G53-D53</f>
        <v>-505.3</v>
      </c>
      <c r="N53" s="210">
        <f>G53-E53</f>
        <v>-150.7</v>
      </c>
    </row>
    <row r="54" spans="1:14" ht="87.75" customHeight="1">
      <c r="A54" s="206">
        <v>41035101</v>
      </c>
      <c r="B54" s="11" t="s">
        <v>49</v>
      </c>
      <c r="C54" s="210">
        <v>703.3</v>
      </c>
      <c r="D54" s="210">
        <v>4629.8</v>
      </c>
      <c r="E54" s="210">
        <v>1645.5</v>
      </c>
      <c r="F54" s="179">
        <f>E54-'за 1 кв'!E53</f>
        <v>362.5999999999999</v>
      </c>
      <c r="G54" s="210">
        <v>1645.5</v>
      </c>
      <c r="H54" s="179">
        <f>G54-'за 1 кв'!G53</f>
        <v>362.5999999999999</v>
      </c>
      <c r="I54" s="209">
        <f>G54/C54*100</f>
        <v>233.9684345229632</v>
      </c>
      <c r="J54" s="209">
        <f>G54/D54*100</f>
        <v>35.54149207309171</v>
      </c>
      <c r="K54" s="209">
        <f>G54/E54*100</f>
        <v>100</v>
      </c>
      <c r="L54" s="210">
        <f>G54-C54</f>
        <v>942.2</v>
      </c>
      <c r="M54" s="210">
        <f>G54-D54</f>
        <v>-2984.3</v>
      </c>
      <c r="N54" s="210">
        <f>G54-E54</f>
        <v>0</v>
      </c>
    </row>
    <row r="55" spans="1:14" ht="39.75" customHeight="1">
      <c r="A55" s="298" t="s">
        <v>52</v>
      </c>
      <c r="B55" s="298"/>
      <c r="C55" s="212">
        <f aca="true" t="shared" si="18" ref="C55:H55">C50+C51</f>
        <v>3669.8</v>
      </c>
      <c r="D55" s="212">
        <f t="shared" si="18"/>
        <v>12129.3</v>
      </c>
      <c r="E55" s="212">
        <f t="shared" si="18"/>
        <v>4063.6</v>
      </c>
      <c r="F55" s="212">
        <f t="shared" si="18"/>
        <v>973.8499999999999</v>
      </c>
      <c r="G55" s="212">
        <f t="shared" si="18"/>
        <v>4577</v>
      </c>
      <c r="H55" s="212">
        <f t="shared" si="18"/>
        <v>1256.7</v>
      </c>
      <c r="I55" s="213">
        <f t="shared" si="1"/>
        <v>124.72069322578886</v>
      </c>
      <c r="J55" s="213">
        <f t="shared" si="2"/>
        <v>37.73507127369263</v>
      </c>
      <c r="K55" s="213">
        <f t="shared" si="8"/>
        <v>112.63411753125308</v>
      </c>
      <c r="L55" s="212">
        <f t="shared" si="4"/>
        <v>907.1999999999998</v>
      </c>
      <c r="M55" s="212">
        <f t="shared" si="5"/>
        <v>-7552.299999999999</v>
      </c>
      <c r="N55" s="212">
        <f t="shared" si="6"/>
        <v>513.4000000000001</v>
      </c>
    </row>
    <row r="56" spans="1:14" ht="40.5" customHeight="1">
      <c r="A56" s="311" t="s">
        <v>53</v>
      </c>
      <c r="B56" s="311"/>
      <c r="C56" s="214">
        <f aca="true" t="shared" si="19" ref="C56:H56">C34+C55</f>
        <v>43381.3</v>
      </c>
      <c r="D56" s="214">
        <f t="shared" si="19"/>
        <v>163285.69999999998</v>
      </c>
      <c r="E56" s="214">
        <f t="shared" si="19"/>
        <v>52599.6</v>
      </c>
      <c r="F56" s="214">
        <f t="shared" si="19"/>
        <v>12909.65</v>
      </c>
      <c r="G56" s="214">
        <f t="shared" si="19"/>
        <v>53906.600000000006</v>
      </c>
      <c r="H56" s="214">
        <f t="shared" si="19"/>
        <v>12913.400000000005</v>
      </c>
      <c r="I56" s="215">
        <f t="shared" si="1"/>
        <v>124.26229734931873</v>
      </c>
      <c r="J56" s="215">
        <f t="shared" si="2"/>
        <v>33.013668680111</v>
      </c>
      <c r="K56" s="215">
        <f t="shared" si="8"/>
        <v>102.48480977041652</v>
      </c>
      <c r="L56" s="214">
        <f t="shared" si="4"/>
        <v>10525.300000000003</v>
      </c>
      <c r="M56" s="214">
        <f t="shared" si="5"/>
        <v>-109379.09999999998</v>
      </c>
      <c r="N56" s="214">
        <f t="shared" si="6"/>
        <v>1307.0000000000073</v>
      </c>
    </row>
    <row r="57" spans="2:8" ht="12.75">
      <c r="B57" s="6"/>
      <c r="C57" s="24"/>
      <c r="D57" s="24"/>
      <c r="E57" s="24"/>
      <c r="F57" s="24"/>
      <c r="G57" s="24"/>
      <c r="H57" s="24"/>
    </row>
  </sheetData>
  <mergeCells count="31">
    <mergeCell ref="A56:B56"/>
    <mergeCell ref="A40:B40"/>
    <mergeCell ref="A44:B44"/>
    <mergeCell ref="A48:B48"/>
    <mergeCell ref="A55:B55"/>
    <mergeCell ref="A36:B36"/>
    <mergeCell ref="A9:N9"/>
    <mergeCell ref="A14:B14"/>
    <mergeCell ref="A29:B29"/>
    <mergeCell ref="A30:B30"/>
    <mergeCell ref="A34:B34"/>
    <mergeCell ref="A35:N35"/>
    <mergeCell ref="H6:H7"/>
    <mergeCell ref="L5:N5"/>
    <mergeCell ref="L6:L7"/>
    <mergeCell ref="M6:M7"/>
    <mergeCell ref="N6:N7"/>
    <mergeCell ref="D5:F5"/>
    <mergeCell ref="E6:F6"/>
    <mergeCell ref="D6:D7"/>
    <mergeCell ref="G6:G7"/>
    <mergeCell ref="L1:N1"/>
    <mergeCell ref="A3:N3"/>
    <mergeCell ref="I6:I7"/>
    <mergeCell ref="J6:J7"/>
    <mergeCell ref="B5:B7"/>
    <mergeCell ref="A5:A7"/>
    <mergeCell ref="I5:K5"/>
    <mergeCell ref="K6:K7"/>
    <mergeCell ref="G5:H5"/>
    <mergeCell ref="C5:C7"/>
  </mergeCells>
  <printOptions horizontalCentered="1"/>
  <pageMargins left="0.7874015748031497" right="0.3937007874015748" top="0.984251968503937" bottom="0.984251968503937" header="0.5118110236220472" footer="0.5118110236220472"/>
  <pageSetup horizontalDpi="600" verticalDpi="600" orientation="portrait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6"/>
  <sheetViews>
    <sheetView view="pageBreakPreview" zoomScaleSheetLayoutView="100" workbookViewId="0" topLeftCell="A37">
      <selection activeCell="D48" sqref="D48"/>
    </sheetView>
  </sheetViews>
  <sheetFormatPr defaultColWidth="9.00390625" defaultRowHeight="12.75"/>
  <cols>
    <col min="1" max="1" width="12.75390625" style="5" customWidth="1"/>
    <col min="2" max="2" width="33.125" style="5" customWidth="1"/>
    <col min="3" max="3" width="13.375" style="0" customWidth="1"/>
    <col min="4" max="4" width="14.125" style="0" customWidth="1"/>
    <col min="5" max="5" width="12.375" style="0" customWidth="1"/>
    <col min="6" max="6" width="12.625" style="0" customWidth="1"/>
    <col min="7" max="7" width="14.00390625" style="0" customWidth="1"/>
    <col min="8" max="8" width="12.375" style="0" customWidth="1"/>
    <col min="9" max="9" width="12.25390625" style="13" customWidth="1"/>
    <col min="10" max="10" width="13.125" style="13" customWidth="1"/>
    <col min="11" max="11" width="12.625" style="13" customWidth="1"/>
    <col min="12" max="12" width="13.75390625" style="0" customWidth="1"/>
    <col min="13" max="13" width="14.375" style="0" customWidth="1"/>
    <col min="14" max="14" width="12.75390625" style="0" customWidth="1"/>
  </cols>
  <sheetData>
    <row r="1" spans="12:14" ht="15">
      <c r="L1" s="312" t="s">
        <v>54</v>
      </c>
      <c r="M1" s="312"/>
      <c r="N1" s="312"/>
    </row>
    <row r="3" spans="1:14" ht="22.5">
      <c r="A3" s="313" t="s">
        <v>180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</row>
    <row r="5" spans="1:14" ht="15" customHeight="1">
      <c r="A5" s="318" t="s">
        <v>5</v>
      </c>
      <c r="B5" s="315" t="s">
        <v>7</v>
      </c>
      <c r="C5" s="289" t="s">
        <v>181</v>
      </c>
      <c r="D5" s="272" t="s">
        <v>3</v>
      </c>
      <c r="E5" s="266"/>
      <c r="F5" s="267"/>
      <c r="G5" s="283" t="s">
        <v>2</v>
      </c>
      <c r="H5" s="284"/>
      <c r="I5" s="314" t="s">
        <v>0</v>
      </c>
      <c r="J5" s="314"/>
      <c r="K5" s="314"/>
      <c r="L5" s="306" t="s">
        <v>1</v>
      </c>
      <c r="M5" s="306"/>
      <c r="N5" s="307"/>
    </row>
    <row r="6" spans="1:14" ht="15" customHeight="1">
      <c r="A6" s="319"/>
      <c r="B6" s="316"/>
      <c r="C6" s="308"/>
      <c r="D6" s="289" t="s">
        <v>156</v>
      </c>
      <c r="E6" s="309" t="s">
        <v>6</v>
      </c>
      <c r="F6" s="310"/>
      <c r="G6" s="283" t="s">
        <v>158</v>
      </c>
      <c r="H6" s="304" t="s">
        <v>182</v>
      </c>
      <c r="I6" s="314" t="s">
        <v>4</v>
      </c>
      <c r="J6" s="314" t="s">
        <v>148</v>
      </c>
      <c r="K6" s="314" t="s">
        <v>153</v>
      </c>
      <c r="L6" s="314" t="s">
        <v>4</v>
      </c>
      <c r="M6" s="314" t="s">
        <v>148</v>
      </c>
      <c r="N6" s="314" t="s">
        <v>153</v>
      </c>
    </row>
    <row r="7" spans="1:14" ht="57" customHeight="1">
      <c r="A7" s="320"/>
      <c r="B7" s="317"/>
      <c r="C7" s="264"/>
      <c r="D7" s="264"/>
      <c r="E7" s="4" t="s">
        <v>157</v>
      </c>
      <c r="F7" s="12" t="s">
        <v>182</v>
      </c>
      <c r="G7" s="285"/>
      <c r="H7" s="305"/>
      <c r="I7" s="314"/>
      <c r="J7" s="314"/>
      <c r="K7" s="314"/>
      <c r="L7" s="314"/>
      <c r="M7" s="314"/>
      <c r="N7" s="314"/>
    </row>
    <row r="8" spans="1:14" s="220" customFormat="1" ht="12.75">
      <c r="A8" s="216">
        <v>1</v>
      </c>
      <c r="B8" s="28">
        <v>2</v>
      </c>
      <c r="C8" s="218">
        <v>3</v>
      </c>
      <c r="D8" s="218">
        <v>4</v>
      </c>
      <c r="E8" s="219">
        <v>5</v>
      </c>
      <c r="F8" s="219">
        <v>6</v>
      </c>
      <c r="G8" s="218">
        <v>7</v>
      </c>
      <c r="H8" s="218">
        <v>8</v>
      </c>
      <c r="I8" s="218">
        <v>9</v>
      </c>
      <c r="J8" s="218">
        <v>10</v>
      </c>
      <c r="K8" s="218">
        <v>11</v>
      </c>
      <c r="L8" s="218">
        <v>12</v>
      </c>
      <c r="M8" s="218">
        <v>13</v>
      </c>
      <c r="N8" s="218">
        <v>14</v>
      </c>
    </row>
    <row r="9" spans="1:14" ht="24" customHeight="1">
      <c r="A9" s="303" t="s">
        <v>36</v>
      </c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</row>
    <row r="10" spans="1:14" ht="54" customHeight="1">
      <c r="A10" s="199">
        <v>11010000</v>
      </c>
      <c r="B10" s="11" t="s">
        <v>13</v>
      </c>
      <c r="C10" s="178">
        <v>33051.6</v>
      </c>
      <c r="D10" s="221">
        <v>102041.7</v>
      </c>
      <c r="E10" s="178">
        <v>42111.4</v>
      </c>
      <c r="F10" s="179">
        <f>E10-'01.05'!E10</f>
        <v>8479.400000000001</v>
      </c>
      <c r="G10" s="178">
        <v>41936.3</v>
      </c>
      <c r="H10" s="179">
        <f>G10-'01.05'!G10</f>
        <v>7654.4000000000015</v>
      </c>
      <c r="I10" s="200">
        <f>G10/C10*100</f>
        <v>126.8813007539726</v>
      </c>
      <c r="J10" s="200">
        <f>G10/D10*100</f>
        <v>41.097218098091275</v>
      </c>
      <c r="K10" s="200">
        <f>G10/E10*100</f>
        <v>99.58419810312648</v>
      </c>
      <c r="L10" s="178">
        <f>G10-C10</f>
        <v>8884.700000000004</v>
      </c>
      <c r="M10" s="178">
        <f>G10-D10</f>
        <v>-60105.399999999994</v>
      </c>
      <c r="N10" s="178">
        <f>G10-E10</f>
        <v>-175.09999999999854</v>
      </c>
    </row>
    <row r="11" spans="1:14" ht="39">
      <c r="A11" s="199">
        <v>22010300</v>
      </c>
      <c r="B11" s="11" t="s">
        <v>10</v>
      </c>
      <c r="C11" s="178">
        <v>7.5</v>
      </c>
      <c r="D11" s="221">
        <v>16.5</v>
      </c>
      <c r="E11" s="178">
        <v>5.5</v>
      </c>
      <c r="F11" s="179">
        <f>E11-'01.05'!E11</f>
        <v>1.0999999999999996</v>
      </c>
      <c r="G11" s="178">
        <v>6.6</v>
      </c>
      <c r="H11" s="179">
        <f>G11-'01.05'!G11</f>
        <v>1.1999999999999993</v>
      </c>
      <c r="I11" s="200">
        <f>G11/C11*100</f>
        <v>88</v>
      </c>
      <c r="J11" s="200">
        <f>G11/D11*100</f>
        <v>40</v>
      </c>
      <c r="K11" s="200">
        <f>G11/E11*100</f>
        <v>120</v>
      </c>
      <c r="L11" s="178">
        <f>G11-C11</f>
        <v>-0.9000000000000004</v>
      </c>
      <c r="M11" s="178">
        <f>G11-D11</f>
        <v>-9.9</v>
      </c>
      <c r="N11" s="178">
        <f>G11-E11</f>
        <v>1.0999999999999996</v>
      </c>
    </row>
    <row r="12" spans="1:14" ht="18.75" customHeight="1">
      <c r="A12" s="199">
        <v>22090000</v>
      </c>
      <c r="B12" s="11" t="s">
        <v>11</v>
      </c>
      <c r="C12" s="178">
        <v>22.9</v>
      </c>
      <c r="D12" s="221">
        <v>60</v>
      </c>
      <c r="E12" s="178">
        <v>24</v>
      </c>
      <c r="F12" s="179">
        <f>E12-'01.05'!F13</f>
        <v>17.700000000000003</v>
      </c>
      <c r="G12" s="178">
        <v>36.3</v>
      </c>
      <c r="H12" s="179">
        <f>G12-'01.05'!G13</f>
        <v>1.8999999999999986</v>
      </c>
      <c r="I12" s="200">
        <f>G12/C12*100</f>
        <v>158.51528384279476</v>
      </c>
      <c r="J12" s="200">
        <f>G12/D12*100</f>
        <v>60.5</v>
      </c>
      <c r="K12" s="200">
        <f>G12/E12*100</f>
        <v>151.25</v>
      </c>
      <c r="L12" s="178">
        <f>G12-C12</f>
        <v>13.399999999999999</v>
      </c>
      <c r="M12" s="178">
        <f>G12-D12</f>
        <v>-23.700000000000003</v>
      </c>
      <c r="N12" s="178">
        <f>G12-E12</f>
        <v>12.299999999999997</v>
      </c>
    </row>
    <row r="13" spans="1:14" ht="30" customHeight="1">
      <c r="A13" s="301" t="s">
        <v>12</v>
      </c>
      <c r="B13" s="301"/>
      <c r="C13" s="180">
        <f aca="true" t="shared" si="0" ref="C13:H13">SUM(C10:C12)</f>
        <v>33082</v>
      </c>
      <c r="D13" s="180">
        <f t="shared" si="0"/>
        <v>102118.2</v>
      </c>
      <c r="E13" s="180">
        <f t="shared" si="0"/>
        <v>42140.9</v>
      </c>
      <c r="F13" s="180">
        <f t="shared" si="0"/>
        <v>8498.200000000003</v>
      </c>
      <c r="G13" s="180">
        <f t="shared" si="0"/>
        <v>41979.200000000004</v>
      </c>
      <c r="H13" s="180">
        <f t="shared" si="0"/>
        <v>7657.500000000001</v>
      </c>
      <c r="I13" s="201">
        <f>G13/C13*100</f>
        <v>126.89438365274168</v>
      </c>
      <c r="J13" s="201">
        <f>G13/D13*100</f>
        <v>41.10844100268121</v>
      </c>
      <c r="K13" s="201">
        <f>G13/E13*100</f>
        <v>99.61628726486622</v>
      </c>
      <c r="L13" s="180">
        <f>G13-C13</f>
        <v>8897.200000000004</v>
      </c>
      <c r="M13" s="180">
        <f>G13-D13</f>
        <v>-60138.99999999999</v>
      </c>
      <c r="N13" s="180">
        <f>G13-E13</f>
        <v>-161.6999999999971</v>
      </c>
    </row>
    <row r="14" spans="1:14" ht="39">
      <c r="A14" s="202">
        <v>11010600</v>
      </c>
      <c r="B14" s="11" t="s">
        <v>14</v>
      </c>
      <c r="C14" s="178">
        <v>27.1</v>
      </c>
      <c r="D14" s="178">
        <v>0</v>
      </c>
      <c r="E14" s="178">
        <v>0</v>
      </c>
      <c r="F14" s="179">
        <f>E14-'01.05'!E15</f>
        <v>0</v>
      </c>
      <c r="G14" s="178">
        <v>-0.4</v>
      </c>
      <c r="H14" s="179">
        <v>0</v>
      </c>
      <c r="I14" s="200">
        <f aca="true" t="shared" si="1" ref="I14:I55">G14/C14*100</f>
        <v>-1.4760147601476015</v>
      </c>
      <c r="J14" s="200" t="e">
        <f aca="true" t="shared" si="2" ref="J14:J55">G14/D14*100</f>
        <v>#DIV/0!</v>
      </c>
      <c r="K14" s="200" t="e">
        <f>G14/E14*100</f>
        <v>#DIV/0!</v>
      </c>
      <c r="L14" s="178">
        <f aca="true" t="shared" si="3" ref="L14:L55">G14-C14</f>
        <v>-27.5</v>
      </c>
      <c r="M14" s="178">
        <f aca="true" t="shared" si="4" ref="M14:M55">G14-D14</f>
        <v>-0.4</v>
      </c>
      <c r="N14" s="178">
        <f aca="true" t="shared" si="5" ref="N14:N55">G14-E14</f>
        <v>-0.4</v>
      </c>
    </row>
    <row r="15" spans="1:14" ht="38.25">
      <c r="A15" s="203" t="s">
        <v>15</v>
      </c>
      <c r="B15" s="14" t="s">
        <v>16</v>
      </c>
      <c r="C15" s="178">
        <v>27.1</v>
      </c>
      <c r="D15" s="178">
        <v>100</v>
      </c>
      <c r="E15" s="178">
        <v>47.2</v>
      </c>
      <c r="F15" s="179">
        <f>E15-'01.05'!E16</f>
        <v>21.500000000000004</v>
      </c>
      <c r="G15" s="178">
        <v>173.8</v>
      </c>
      <c r="H15" s="179">
        <f>G15-'01.05'!G16</f>
        <v>5.200000000000017</v>
      </c>
      <c r="I15" s="200">
        <f aca="true" t="shared" si="6" ref="I15:I20">G15/C15*100</f>
        <v>641.3284132841328</v>
      </c>
      <c r="J15" s="200">
        <f aca="true" t="shared" si="7" ref="J15:J20">G15/D15*100</f>
        <v>173.8</v>
      </c>
      <c r="K15" s="200">
        <f aca="true" t="shared" si="8" ref="K15:K20">G15/E15*100</f>
        <v>368.22033898305085</v>
      </c>
      <c r="L15" s="178">
        <f t="shared" si="3"/>
        <v>146.70000000000002</v>
      </c>
      <c r="M15" s="178">
        <f t="shared" si="4"/>
        <v>73.80000000000001</v>
      </c>
      <c r="N15" s="178">
        <f t="shared" si="5"/>
        <v>126.60000000000001</v>
      </c>
    </row>
    <row r="16" spans="1:14" ht="15" customHeight="1">
      <c r="A16" s="204">
        <v>13050000</v>
      </c>
      <c r="B16" s="11" t="s">
        <v>17</v>
      </c>
      <c r="C16" s="178">
        <v>5670.2</v>
      </c>
      <c r="D16" s="178">
        <v>14200</v>
      </c>
      <c r="E16" s="178">
        <v>5774.3</v>
      </c>
      <c r="F16" s="179">
        <f>E16-'01.05'!E17</f>
        <v>1191.9000000000005</v>
      </c>
      <c r="G16" s="178">
        <v>6003.3</v>
      </c>
      <c r="H16" s="179">
        <f>G16-'01.05'!G17</f>
        <v>1180</v>
      </c>
      <c r="I16" s="200">
        <f t="shared" si="6"/>
        <v>105.87457232549117</v>
      </c>
      <c r="J16" s="200">
        <f t="shared" si="7"/>
        <v>42.276760563380286</v>
      </c>
      <c r="K16" s="200">
        <f t="shared" si="8"/>
        <v>103.96584867429819</v>
      </c>
      <c r="L16" s="178">
        <f t="shared" si="3"/>
        <v>333.10000000000036</v>
      </c>
      <c r="M16" s="178">
        <f t="shared" si="4"/>
        <v>-8196.7</v>
      </c>
      <c r="N16" s="178">
        <f t="shared" si="5"/>
        <v>229</v>
      </c>
    </row>
    <row r="17" spans="1:14" ht="26.25">
      <c r="A17" s="204">
        <v>18000000</v>
      </c>
      <c r="B17" s="11" t="s">
        <v>164</v>
      </c>
      <c r="C17" s="181">
        <f>SUM(C18:C20)</f>
        <v>96.8</v>
      </c>
      <c r="D17" s="181">
        <f>SUM(D18:D20)</f>
        <v>242</v>
      </c>
      <c r="E17" s="181">
        <f>SUM(E18:E20)</f>
        <v>99.3</v>
      </c>
      <c r="F17" s="179">
        <f>E17-'01.05'!E18</f>
        <v>19.700000000000003</v>
      </c>
      <c r="G17" s="181">
        <f>SUM(G18:G20)</f>
        <v>112.9</v>
      </c>
      <c r="H17" s="179">
        <f>G17-'01.05'!G18</f>
        <v>22.5</v>
      </c>
      <c r="I17" s="200">
        <f t="shared" si="6"/>
        <v>116.63223140495869</v>
      </c>
      <c r="J17" s="200">
        <f t="shared" si="7"/>
        <v>46.65289256198347</v>
      </c>
      <c r="K17" s="200">
        <f t="shared" si="8"/>
        <v>113.69587109768379</v>
      </c>
      <c r="L17" s="178">
        <f t="shared" si="3"/>
        <v>16.10000000000001</v>
      </c>
      <c r="M17" s="178">
        <f t="shared" si="4"/>
        <v>-129.1</v>
      </c>
      <c r="N17" s="178">
        <f t="shared" si="5"/>
        <v>13.600000000000009</v>
      </c>
    </row>
    <row r="18" spans="1:14" ht="16.5" customHeight="1">
      <c r="A18" s="204">
        <v>18020000</v>
      </c>
      <c r="B18" s="10" t="s">
        <v>19</v>
      </c>
      <c r="C18" s="178">
        <v>0.1</v>
      </c>
      <c r="D18" s="178"/>
      <c r="E18" s="178">
        <v>0</v>
      </c>
      <c r="F18" s="179">
        <f>E18-'01.05'!E19</f>
        <v>0</v>
      </c>
      <c r="G18" s="178">
        <v>0</v>
      </c>
      <c r="H18" s="179">
        <f>G18-'01.05'!G19</f>
        <v>0</v>
      </c>
      <c r="I18" s="200">
        <f t="shared" si="6"/>
        <v>0</v>
      </c>
      <c r="J18" s="200" t="e">
        <f t="shared" si="7"/>
        <v>#DIV/0!</v>
      </c>
      <c r="K18" s="200" t="e">
        <f t="shared" si="8"/>
        <v>#DIV/0!</v>
      </c>
      <c r="L18" s="178">
        <f t="shared" si="3"/>
        <v>-0.1</v>
      </c>
      <c r="M18" s="178">
        <f t="shared" si="4"/>
        <v>0</v>
      </c>
      <c r="N18" s="178">
        <f t="shared" si="5"/>
        <v>0</v>
      </c>
    </row>
    <row r="19" spans="1:14" ht="15.75">
      <c r="A19" s="204">
        <v>18030000</v>
      </c>
      <c r="B19" s="10" t="s">
        <v>20</v>
      </c>
      <c r="C19" s="178">
        <v>0.5</v>
      </c>
      <c r="D19" s="178">
        <v>2</v>
      </c>
      <c r="E19" s="178">
        <v>0.7</v>
      </c>
      <c r="F19" s="179">
        <f>E19-'01.05'!E20</f>
        <v>0.09999999999999998</v>
      </c>
      <c r="G19" s="178">
        <v>2.2</v>
      </c>
      <c r="H19" s="179">
        <f>G19-'01.05'!G20</f>
        <v>0.7000000000000002</v>
      </c>
      <c r="I19" s="200">
        <f t="shared" si="6"/>
        <v>440.00000000000006</v>
      </c>
      <c r="J19" s="200">
        <f t="shared" si="7"/>
        <v>110.00000000000001</v>
      </c>
      <c r="K19" s="200">
        <f t="shared" si="8"/>
        <v>314.28571428571433</v>
      </c>
      <c r="L19" s="178">
        <f t="shared" si="3"/>
        <v>1.7000000000000002</v>
      </c>
      <c r="M19" s="178">
        <f t="shared" si="4"/>
        <v>0.20000000000000018</v>
      </c>
      <c r="N19" s="178">
        <f t="shared" si="5"/>
        <v>1.5000000000000002</v>
      </c>
    </row>
    <row r="20" spans="1:14" ht="26.25">
      <c r="A20" s="204">
        <v>18040000</v>
      </c>
      <c r="B20" s="11" t="s">
        <v>21</v>
      </c>
      <c r="C20" s="178">
        <v>96.2</v>
      </c>
      <c r="D20" s="178">
        <v>240</v>
      </c>
      <c r="E20" s="178">
        <v>98.6</v>
      </c>
      <c r="F20" s="179">
        <f>E20-'01.05'!E21</f>
        <v>19.599999999999994</v>
      </c>
      <c r="G20" s="178">
        <v>110.7</v>
      </c>
      <c r="H20" s="179">
        <f>G20-'01.05'!G21</f>
        <v>21.799999999999997</v>
      </c>
      <c r="I20" s="200">
        <f t="shared" si="6"/>
        <v>115.07276507276507</v>
      </c>
      <c r="J20" s="200">
        <f t="shared" si="7"/>
        <v>46.125</v>
      </c>
      <c r="K20" s="200">
        <f t="shared" si="8"/>
        <v>112.27180527383369</v>
      </c>
      <c r="L20" s="178">
        <f t="shared" si="3"/>
        <v>14.5</v>
      </c>
      <c r="M20" s="178">
        <f t="shared" si="4"/>
        <v>-129.3</v>
      </c>
      <c r="N20" s="178">
        <f t="shared" si="5"/>
        <v>12.100000000000009</v>
      </c>
    </row>
    <row r="21" spans="1:14" ht="26.25">
      <c r="A21" s="204">
        <v>19040100</v>
      </c>
      <c r="B21" s="11" t="s">
        <v>41</v>
      </c>
      <c r="C21" s="178">
        <v>0.1</v>
      </c>
      <c r="D21" s="178">
        <v>0</v>
      </c>
      <c r="E21" s="178">
        <v>0</v>
      </c>
      <c r="F21" s="179">
        <f>E21-'01.05'!E22</f>
        <v>0</v>
      </c>
      <c r="G21" s="178">
        <v>0.2</v>
      </c>
      <c r="H21" s="179">
        <f>G21-'01.05'!G22</f>
        <v>0.1</v>
      </c>
      <c r="I21" s="200">
        <f t="shared" si="1"/>
        <v>200</v>
      </c>
      <c r="J21" s="200" t="e">
        <f>G21/D21*100</f>
        <v>#DIV/0!</v>
      </c>
      <c r="K21" s="200" t="e">
        <f aca="true" t="shared" si="9" ref="K21:K27">G21/E21*100</f>
        <v>#DIV/0!</v>
      </c>
      <c r="L21" s="178">
        <f>G21-C21</f>
        <v>0.1</v>
      </c>
      <c r="M21" s="178">
        <f>G21-D21</f>
        <v>0.2</v>
      </c>
      <c r="N21" s="178">
        <f>G21-E21</f>
        <v>0.2</v>
      </c>
    </row>
    <row r="22" spans="1:14" ht="51">
      <c r="A22" s="44" t="s">
        <v>26</v>
      </c>
      <c r="B22" s="8" t="s">
        <v>162</v>
      </c>
      <c r="C22" s="178">
        <v>0.3</v>
      </c>
      <c r="D22" s="178">
        <v>0</v>
      </c>
      <c r="E22" s="178">
        <v>0</v>
      </c>
      <c r="F22" s="179">
        <f>E22-'01.05'!E23</f>
        <v>0</v>
      </c>
      <c r="G22" s="178">
        <v>0</v>
      </c>
      <c r="H22" s="179">
        <f>G22-'01.05'!G23</f>
        <v>0</v>
      </c>
      <c r="I22" s="200">
        <f t="shared" si="1"/>
        <v>0</v>
      </c>
      <c r="J22" s="200" t="e">
        <f t="shared" si="2"/>
        <v>#DIV/0!</v>
      </c>
      <c r="K22" s="200" t="e">
        <f t="shared" si="9"/>
        <v>#DIV/0!</v>
      </c>
      <c r="L22" s="178">
        <f t="shared" si="3"/>
        <v>-0.3</v>
      </c>
      <c r="M22" s="178">
        <f t="shared" si="4"/>
        <v>0</v>
      </c>
      <c r="N22" s="178">
        <f t="shared" si="5"/>
        <v>0</v>
      </c>
    </row>
    <row r="23" spans="1:14" ht="15.75">
      <c r="A23" s="203" t="s">
        <v>24</v>
      </c>
      <c r="B23" s="9" t="s">
        <v>25</v>
      </c>
      <c r="C23" s="178">
        <v>6.6</v>
      </c>
      <c r="D23" s="178">
        <v>15</v>
      </c>
      <c r="E23" s="178">
        <v>5.7</v>
      </c>
      <c r="F23" s="179">
        <f>E23-'01.05'!E24</f>
        <v>1.2999999999999998</v>
      </c>
      <c r="G23" s="178">
        <v>12.9</v>
      </c>
      <c r="H23" s="179">
        <f>G23-'01.05'!G24</f>
        <v>1.200000000000001</v>
      </c>
      <c r="I23" s="200">
        <f>G23/C23*100</f>
        <v>195.45454545454547</v>
      </c>
      <c r="J23" s="200">
        <f>G23/D23*100</f>
        <v>86</v>
      </c>
      <c r="K23" s="200">
        <f t="shared" si="9"/>
        <v>226.3157894736842</v>
      </c>
      <c r="L23" s="178">
        <f t="shared" si="3"/>
        <v>6.300000000000001</v>
      </c>
      <c r="M23" s="178">
        <f t="shared" si="4"/>
        <v>-2.0999999999999996</v>
      </c>
      <c r="N23" s="178">
        <f t="shared" si="5"/>
        <v>7.2</v>
      </c>
    </row>
    <row r="24" spans="1:14" ht="53.25" customHeight="1">
      <c r="A24" s="203" t="s">
        <v>22</v>
      </c>
      <c r="B24" s="18" t="s">
        <v>23</v>
      </c>
      <c r="C24" s="178">
        <v>245.6</v>
      </c>
      <c r="D24" s="178">
        <v>645</v>
      </c>
      <c r="E24" s="178">
        <v>256.9</v>
      </c>
      <c r="F24" s="179">
        <f>E24-'01.05'!E25</f>
        <v>53.49999999999997</v>
      </c>
      <c r="G24" s="178">
        <v>284.8</v>
      </c>
      <c r="H24" s="179">
        <f>G24-'01.05'!G25</f>
        <v>57.20000000000002</v>
      </c>
      <c r="I24" s="200">
        <f>G24/C24*100</f>
        <v>115.96091205211727</v>
      </c>
      <c r="J24" s="200">
        <f>G24/D24*100</f>
        <v>44.15503875968992</v>
      </c>
      <c r="K24" s="200">
        <f t="shared" si="9"/>
        <v>110.86025690930323</v>
      </c>
      <c r="L24" s="178">
        <f t="shared" si="3"/>
        <v>39.20000000000002</v>
      </c>
      <c r="M24" s="178">
        <f t="shared" si="4"/>
        <v>-360.2</v>
      </c>
      <c r="N24" s="178">
        <f t="shared" si="5"/>
        <v>27.900000000000034</v>
      </c>
    </row>
    <row r="25" spans="1:14" ht="31.5">
      <c r="A25" s="204" t="s">
        <v>55</v>
      </c>
      <c r="B25" s="10" t="s">
        <v>28</v>
      </c>
      <c r="C25" s="178">
        <v>163.4</v>
      </c>
      <c r="D25" s="178">
        <v>0</v>
      </c>
      <c r="E25" s="178">
        <v>0</v>
      </c>
      <c r="F25" s="179">
        <f>E25-'01.05'!E26</f>
        <v>0</v>
      </c>
      <c r="G25" s="178">
        <v>17.1</v>
      </c>
      <c r="H25" s="179">
        <f>G25-'01.05'!G26</f>
        <v>0.20000000000000284</v>
      </c>
      <c r="I25" s="200">
        <f>G25/C25*100</f>
        <v>10.465116279069768</v>
      </c>
      <c r="J25" s="200" t="e">
        <f>G25/D25*100</f>
        <v>#DIV/0!</v>
      </c>
      <c r="K25" s="200" t="e">
        <f t="shared" si="9"/>
        <v>#DIV/0!</v>
      </c>
      <c r="L25" s="178">
        <f t="shared" si="3"/>
        <v>-146.3</v>
      </c>
      <c r="M25" s="178">
        <f t="shared" si="4"/>
        <v>17.1</v>
      </c>
      <c r="N25" s="178">
        <f t="shared" si="5"/>
        <v>17.1</v>
      </c>
    </row>
    <row r="26" spans="1:14" ht="0.75" customHeight="1" hidden="1">
      <c r="A26" s="204">
        <v>24060600</v>
      </c>
      <c r="B26" s="11" t="s">
        <v>29</v>
      </c>
      <c r="C26" s="178"/>
      <c r="D26" s="178"/>
      <c r="E26" s="178"/>
      <c r="F26" s="179">
        <f>E26-'01.05'!E27</f>
        <v>0</v>
      </c>
      <c r="G26" s="178"/>
      <c r="H26" s="179">
        <f>G26-'01.05'!G27</f>
        <v>0</v>
      </c>
      <c r="I26" s="200" t="e">
        <f>G26/C26*100</f>
        <v>#DIV/0!</v>
      </c>
      <c r="J26" s="200" t="e">
        <f>G26/D26*100</f>
        <v>#DIV/0!</v>
      </c>
      <c r="K26" s="200" t="e">
        <f t="shared" si="9"/>
        <v>#DIV/0!</v>
      </c>
      <c r="L26" s="178">
        <f t="shared" si="3"/>
        <v>0</v>
      </c>
      <c r="M26" s="178">
        <f t="shared" si="4"/>
        <v>0</v>
      </c>
      <c r="N26" s="178">
        <f t="shared" si="5"/>
        <v>0</v>
      </c>
    </row>
    <row r="27" spans="1:14" ht="64.5">
      <c r="A27" s="204">
        <v>31010200</v>
      </c>
      <c r="B27" s="11" t="s">
        <v>30</v>
      </c>
      <c r="C27" s="178">
        <v>2.7</v>
      </c>
      <c r="D27" s="178">
        <v>0</v>
      </c>
      <c r="E27" s="178">
        <v>0</v>
      </c>
      <c r="F27" s="179">
        <f>E27-'01.05'!E28</f>
        <v>0</v>
      </c>
      <c r="G27" s="178">
        <v>0.1</v>
      </c>
      <c r="H27" s="179">
        <f>G27-'01.05'!G28</f>
        <v>0</v>
      </c>
      <c r="I27" s="200">
        <f>G27/C27*100</f>
        <v>3.7037037037037033</v>
      </c>
      <c r="J27" s="200" t="e">
        <f>G27/D27*100</f>
        <v>#DIV/0!</v>
      </c>
      <c r="K27" s="200" t="e">
        <f t="shared" si="9"/>
        <v>#DIV/0!</v>
      </c>
      <c r="L27" s="178">
        <f t="shared" si="3"/>
        <v>-2.6</v>
      </c>
      <c r="M27" s="178">
        <f t="shared" si="4"/>
        <v>0.1</v>
      </c>
      <c r="N27" s="178">
        <f t="shared" si="5"/>
        <v>0.1</v>
      </c>
    </row>
    <row r="28" spans="1:14" s="102" customFormat="1" ht="36.75" customHeight="1">
      <c r="A28" s="301" t="s">
        <v>183</v>
      </c>
      <c r="B28" s="301"/>
      <c r="C28" s="180">
        <f aca="true" t="shared" si="10" ref="C28:H28">SUM(C14:C27)-C17</f>
        <v>6239.900000000001</v>
      </c>
      <c r="D28" s="180">
        <f t="shared" si="10"/>
        <v>15202</v>
      </c>
      <c r="E28" s="180">
        <f t="shared" si="10"/>
        <v>6183.4</v>
      </c>
      <c r="F28" s="180">
        <f t="shared" si="10"/>
        <v>1287.9000000000003</v>
      </c>
      <c r="G28" s="180">
        <f>SUM(G14:G27)-G17</f>
        <v>6604.7</v>
      </c>
      <c r="H28" s="180">
        <f t="shared" si="10"/>
        <v>1266.4</v>
      </c>
      <c r="I28" s="201">
        <f t="shared" si="1"/>
        <v>105.84624753601818</v>
      </c>
      <c r="J28" s="201">
        <f t="shared" si="2"/>
        <v>43.44625707143797</v>
      </c>
      <c r="K28" s="201">
        <f aca="true" t="shared" si="11" ref="K28:K55">G28/E28*100</f>
        <v>106.81340362907139</v>
      </c>
      <c r="L28" s="180">
        <f t="shared" si="3"/>
        <v>364.7999999999993</v>
      </c>
      <c r="M28" s="180">
        <f t="shared" si="4"/>
        <v>-8597.3</v>
      </c>
      <c r="N28" s="180">
        <f t="shared" si="5"/>
        <v>421.3000000000002</v>
      </c>
    </row>
    <row r="29" spans="1:14" ht="25.5" customHeight="1">
      <c r="A29" s="299" t="s">
        <v>35</v>
      </c>
      <c r="B29" s="299"/>
      <c r="C29" s="22">
        <f aca="true" t="shared" si="12" ref="C29:H29">C13+C28</f>
        <v>39321.9</v>
      </c>
      <c r="D29" s="22">
        <f t="shared" si="12"/>
        <v>117320.2</v>
      </c>
      <c r="E29" s="22">
        <f t="shared" si="12"/>
        <v>48324.3</v>
      </c>
      <c r="F29" s="22">
        <f t="shared" si="12"/>
        <v>9786.100000000002</v>
      </c>
      <c r="G29" s="22">
        <f t="shared" si="12"/>
        <v>48583.9</v>
      </c>
      <c r="H29" s="22">
        <f t="shared" si="12"/>
        <v>8923.900000000001</v>
      </c>
      <c r="I29" s="25">
        <f t="shared" si="1"/>
        <v>123.5543043443984</v>
      </c>
      <c r="J29" s="25">
        <f t="shared" si="2"/>
        <v>41.411368204281956</v>
      </c>
      <c r="K29" s="25">
        <f t="shared" si="11"/>
        <v>100.53720384982296</v>
      </c>
      <c r="L29" s="22">
        <f t="shared" si="3"/>
        <v>9262</v>
      </c>
      <c r="M29" s="22">
        <f t="shared" si="4"/>
        <v>-68736.29999999999</v>
      </c>
      <c r="N29" s="22">
        <f t="shared" si="5"/>
        <v>259.59999999999854</v>
      </c>
    </row>
    <row r="30" spans="1:14" ht="30.75" customHeight="1">
      <c r="A30" s="205">
        <v>40000000</v>
      </c>
      <c r="B30" s="20" t="s">
        <v>32</v>
      </c>
      <c r="C30" s="180">
        <f aca="true" t="shared" si="13" ref="C30:H30">SUM(C31:C32)</f>
        <v>9340.5</v>
      </c>
      <c r="D30" s="180">
        <f t="shared" si="13"/>
        <v>33836.2</v>
      </c>
      <c r="E30" s="180">
        <f t="shared" si="13"/>
        <v>13233.9</v>
      </c>
      <c r="F30" s="180">
        <f t="shared" si="13"/>
        <v>3251.199999999999</v>
      </c>
      <c r="G30" s="180">
        <f t="shared" si="13"/>
        <v>13153.599999999999</v>
      </c>
      <c r="H30" s="180">
        <f t="shared" si="13"/>
        <v>3483.999999999998</v>
      </c>
      <c r="I30" s="201">
        <f t="shared" si="1"/>
        <v>140.8232963974091</v>
      </c>
      <c r="J30" s="201">
        <f t="shared" si="2"/>
        <v>38.87434168139448</v>
      </c>
      <c r="K30" s="201">
        <f t="shared" si="11"/>
        <v>99.39322497525293</v>
      </c>
      <c r="L30" s="180">
        <f t="shared" si="3"/>
        <v>3813.0999999999985</v>
      </c>
      <c r="M30" s="180">
        <f t="shared" si="4"/>
        <v>-20682.6</v>
      </c>
      <c r="N30" s="180">
        <f t="shared" si="5"/>
        <v>-80.30000000000109</v>
      </c>
    </row>
    <row r="31" spans="1:14" ht="15.75">
      <c r="A31" s="206">
        <v>41020000</v>
      </c>
      <c r="B31" s="11" t="s">
        <v>33</v>
      </c>
      <c r="C31" s="178">
        <v>54.8</v>
      </c>
      <c r="D31" s="178">
        <v>6000</v>
      </c>
      <c r="E31" s="178">
        <v>882.8</v>
      </c>
      <c r="F31" s="179">
        <f>E31-'01.05'!E32</f>
        <v>530.5</v>
      </c>
      <c r="G31" s="178">
        <v>882.8</v>
      </c>
      <c r="H31" s="179">
        <f>G31-'01.05'!G32</f>
        <v>530.5</v>
      </c>
      <c r="I31" s="200">
        <f t="shared" si="1"/>
        <v>1610.948905109489</v>
      </c>
      <c r="J31" s="200">
        <f t="shared" si="2"/>
        <v>14.713333333333335</v>
      </c>
      <c r="K31" s="200">
        <f t="shared" si="11"/>
        <v>100</v>
      </c>
      <c r="L31" s="178">
        <f t="shared" si="3"/>
        <v>828</v>
      </c>
      <c r="M31" s="178">
        <f t="shared" si="4"/>
        <v>-5117.2</v>
      </c>
      <c r="N31" s="178">
        <f t="shared" si="5"/>
        <v>0</v>
      </c>
    </row>
    <row r="32" spans="1:14" ht="15.75">
      <c r="A32" s="206">
        <v>41030000</v>
      </c>
      <c r="B32" s="11" t="s">
        <v>34</v>
      </c>
      <c r="C32" s="178">
        <v>9285.7</v>
      </c>
      <c r="D32" s="178">
        <v>27836.2</v>
      </c>
      <c r="E32" s="178">
        <f>13233.9-882.8</f>
        <v>12351.1</v>
      </c>
      <c r="F32" s="179">
        <f>E32-'01.05'!E33</f>
        <v>2720.699999999999</v>
      </c>
      <c r="G32" s="178">
        <v>12270.8</v>
      </c>
      <c r="H32" s="179">
        <f>G32-'01.05'!G33</f>
        <v>2953.499999999998</v>
      </c>
      <c r="I32" s="200">
        <f t="shared" si="1"/>
        <v>132.14728022658494</v>
      </c>
      <c r="J32" s="200">
        <f t="shared" si="2"/>
        <v>44.08216638765348</v>
      </c>
      <c r="K32" s="200">
        <f t="shared" si="11"/>
        <v>99.3498554784594</v>
      </c>
      <c r="L32" s="178">
        <f t="shared" si="3"/>
        <v>2985.0999999999985</v>
      </c>
      <c r="M32" s="178">
        <f t="shared" si="4"/>
        <v>-15565.400000000001</v>
      </c>
      <c r="N32" s="178">
        <f t="shared" si="5"/>
        <v>-80.30000000000109</v>
      </c>
    </row>
    <row r="33" spans="1:14" ht="40.5" customHeight="1">
      <c r="A33" s="302" t="s">
        <v>50</v>
      </c>
      <c r="B33" s="302"/>
      <c r="C33" s="23">
        <f aca="true" t="shared" si="14" ref="C33:H33">C29+C30</f>
        <v>48662.4</v>
      </c>
      <c r="D33" s="23">
        <f>D29+D30</f>
        <v>151156.4</v>
      </c>
      <c r="E33" s="23">
        <f t="shared" si="14"/>
        <v>61558.200000000004</v>
      </c>
      <c r="F33" s="23">
        <f t="shared" si="14"/>
        <v>13037.300000000001</v>
      </c>
      <c r="G33" s="23">
        <f t="shared" si="14"/>
        <v>61737.5</v>
      </c>
      <c r="H33" s="23">
        <f t="shared" si="14"/>
        <v>12407.9</v>
      </c>
      <c r="I33" s="26">
        <f t="shared" si="1"/>
        <v>126.86899947392646</v>
      </c>
      <c r="J33" s="26">
        <f t="shared" si="2"/>
        <v>40.8434575049419</v>
      </c>
      <c r="K33" s="26">
        <f t="shared" si="11"/>
        <v>100.29126907544403</v>
      </c>
      <c r="L33" s="23">
        <f t="shared" si="3"/>
        <v>13075.099999999999</v>
      </c>
      <c r="M33" s="23">
        <f t="shared" si="4"/>
        <v>-89418.9</v>
      </c>
      <c r="N33" s="23">
        <f t="shared" si="5"/>
        <v>179.29999999999563</v>
      </c>
    </row>
    <row r="34" spans="1:14" ht="24" customHeight="1">
      <c r="A34" s="300" t="s">
        <v>37</v>
      </c>
      <c r="B34" s="300"/>
      <c r="C34" s="300"/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300"/>
    </row>
    <row r="35" spans="1:14" ht="38.25" customHeight="1">
      <c r="A35" s="301" t="s">
        <v>165</v>
      </c>
      <c r="B35" s="301"/>
      <c r="C35" s="180">
        <f aca="true" t="shared" si="15" ref="C35:H35">SUM(C36:C38)</f>
        <v>139.1</v>
      </c>
      <c r="D35" s="180">
        <f t="shared" si="15"/>
        <v>48</v>
      </c>
      <c r="E35" s="180">
        <f t="shared" si="15"/>
        <v>19.5</v>
      </c>
      <c r="F35" s="180">
        <f t="shared" si="15"/>
        <v>4.6000000000000005</v>
      </c>
      <c r="G35" s="180">
        <f t="shared" si="15"/>
        <v>72.8</v>
      </c>
      <c r="H35" s="180">
        <f t="shared" si="15"/>
        <v>19.6</v>
      </c>
      <c r="I35" s="207">
        <f t="shared" si="1"/>
        <v>52.336448598130836</v>
      </c>
      <c r="J35" s="207">
        <f t="shared" si="2"/>
        <v>151.66666666666666</v>
      </c>
      <c r="K35" s="207">
        <f t="shared" si="11"/>
        <v>373.3333333333333</v>
      </c>
      <c r="L35" s="208">
        <f t="shared" si="3"/>
        <v>-66.3</v>
      </c>
      <c r="M35" s="208">
        <f t="shared" si="4"/>
        <v>24.799999999999997</v>
      </c>
      <c r="N35" s="208">
        <f t="shared" si="5"/>
        <v>53.3</v>
      </c>
    </row>
    <row r="36" spans="1:14" ht="26.25">
      <c r="A36" s="204">
        <v>12020000</v>
      </c>
      <c r="B36" s="11" t="s">
        <v>38</v>
      </c>
      <c r="C36" s="178">
        <v>117.3</v>
      </c>
      <c r="D36" s="178">
        <v>0</v>
      </c>
      <c r="E36" s="178">
        <v>0</v>
      </c>
      <c r="F36" s="179">
        <f>E36-'01.05'!E37</f>
        <v>0</v>
      </c>
      <c r="G36" s="178">
        <v>44.5</v>
      </c>
      <c r="H36" s="179">
        <f>G36-'01.05'!G37</f>
        <v>13</v>
      </c>
      <c r="I36" s="200">
        <f t="shared" si="1"/>
        <v>37.93691389599318</v>
      </c>
      <c r="J36" s="200" t="e">
        <f t="shared" si="2"/>
        <v>#DIV/0!</v>
      </c>
      <c r="K36" s="200" t="e">
        <f t="shared" si="11"/>
        <v>#DIV/0!</v>
      </c>
      <c r="L36" s="178">
        <f t="shared" si="3"/>
        <v>-72.8</v>
      </c>
      <c r="M36" s="178">
        <f t="shared" si="4"/>
        <v>44.5</v>
      </c>
      <c r="N36" s="178">
        <f t="shared" si="5"/>
        <v>44.5</v>
      </c>
    </row>
    <row r="37" spans="1:14" ht="26.25">
      <c r="A37" s="204">
        <v>12030000</v>
      </c>
      <c r="B37" s="11" t="s">
        <v>39</v>
      </c>
      <c r="C37" s="178">
        <v>9.2</v>
      </c>
      <c r="D37" s="178">
        <v>24</v>
      </c>
      <c r="E37" s="178">
        <v>9.4</v>
      </c>
      <c r="F37" s="179">
        <f>E37-'01.05'!E38</f>
        <v>2.6000000000000005</v>
      </c>
      <c r="G37" s="178">
        <v>9.1</v>
      </c>
      <c r="H37" s="179">
        <f>G37-'01.05'!G38</f>
        <v>3.5999999999999996</v>
      </c>
      <c r="I37" s="200">
        <f t="shared" si="1"/>
        <v>98.91304347826087</v>
      </c>
      <c r="J37" s="200">
        <f t="shared" si="2"/>
        <v>37.916666666666664</v>
      </c>
      <c r="K37" s="200">
        <f t="shared" si="11"/>
        <v>96.80851063829786</v>
      </c>
      <c r="L37" s="178">
        <f t="shared" si="3"/>
        <v>-0.09999999999999964</v>
      </c>
      <c r="M37" s="178">
        <f t="shared" si="4"/>
        <v>-14.9</v>
      </c>
      <c r="N37" s="178">
        <f t="shared" si="5"/>
        <v>-0.3000000000000007</v>
      </c>
    </row>
    <row r="38" spans="1:14" ht="79.5" customHeight="1">
      <c r="A38" s="204">
        <v>18041500</v>
      </c>
      <c r="B38" s="11" t="s">
        <v>40</v>
      </c>
      <c r="C38" s="178">
        <v>12.6</v>
      </c>
      <c r="D38" s="178">
        <v>24</v>
      </c>
      <c r="E38" s="178">
        <v>10.1</v>
      </c>
      <c r="F38" s="179">
        <f>E38-'01.05'!E39</f>
        <v>2</v>
      </c>
      <c r="G38" s="178">
        <v>19.2</v>
      </c>
      <c r="H38" s="179">
        <f>G38-'01.05'!G39</f>
        <v>3</v>
      </c>
      <c r="I38" s="200">
        <f t="shared" si="1"/>
        <v>152.38095238095238</v>
      </c>
      <c r="J38" s="200">
        <f t="shared" si="2"/>
        <v>80</v>
      </c>
      <c r="K38" s="200">
        <f t="shared" si="11"/>
        <v>190.0990099009901</v>
      </c>
      <c r="L38" s="178">
        <f t="shared" si="3"/>
        <v>6.6</v>
      </c>
      <c r="M38" s="178">
        <f t="shared" si="4"/>
        <v>-4.800000000000001</v>
      </c>
      <c r="N38" s="178">
        <f t="shared" si="5"/>
        <v>9.1</v>
      </c>
    </row>
    <row r="39" spans="1:14" ht="28.5" customHeight="1">
      <c r="A39" s="301" t="s">
        <v>166</v>
      </c>
      <c r="B39" s="301"/>
      <c r="C39" s="208">
        <f aca="true" t="shared" si="16" ref="C39:H39">SUM(C40:C42)</f>
        <v>54.1</v>
      </c>
      <c r="D39" s="208">
        <f t="shared" si="16"/>
        <v>200</v>
      </c>
      <c r="E39" s="208">
        <f t="shared" si="16"/>
        <v>100</v>
      </c>
      <c r="F39" s="208">
        <f t="shared" si="16"/>
        <v>100</v>
      </c>
      <c r="G39" s="208">
        <f t="shared" si="16"/>
        <v>91.1</v>
      </c>
      <c r="H39" s="208">
        <f t="shared" si="16"/>
        <v>42.4</v>
      </c>
      <c r="I39" s="207">
        <f t="shared" si="1"/>
        <v>168.39186691312383</v>
      </c>
      <c r="J39" s="207">
        <f t="shared" si="2"/>
        <v>45.55</v>
      </c>
      <c r="K39" s="200">
        <f t="shared" si="11"/>
        <v>91.1</v>
      </c>
      <c r="L39" s="208">
        <f t="shared" si="3"/>
        <v>36.99999999999999</v>
      </c>
      <c r="M39" s="208">
        <f t="shared" si="4"/>
        <v>-108.9</v>
      </c>
      <c r="N39" s="208">
        <f t="shared" si="5"/>
        <v>-8.900000000000006</v>
      </c>
    </row>
    <row r="40" spans="1:14" ht="15.75">
      <c r="A40" s="204">
        <v>19010000</v>
      </c>
      <c r="B40" s="11" t="s">
        <v>42</v>
      </c>
      <c r="C40" s="178">
        <v>37.4</v>
      </c>
      <c r="D40" s="178">
        <v>200</v>
      </c>
      <c r="E40" s="178">
        <v>100</v>
      </c>
      <c r="F40" s="179">
        <f>E40-'01.05'!F41</f>
        <v>100</v>
      </c>
      <c r="G40" s="178">
        <v>91</v>
      </c>
      <c r="H40" s="179">
        <f>G40-'01.05'!G41</f>
        <v>42.4</v>
      </c>
      <c r="I40" s="200">
        <f t="shared" si="1"/>
        <v>243.31550802139037</v>
      </c>
      <c r="J40" s="200">
        <f t="shared" si="2"/>
        <v>45.5</v>
      </c>
      <c r="K40" s="200">
        <f t="shared" si="11"/>
        <v>91</v>
      </c>
      <c r="L40" s="178">
        <f t="shared" si="3"/>
        <v>53.6</v>
      </c>
      <c r="M40" s="178">
        <f t="shared" si="4"/>
        <v>-109</v>
      </c>
      <c r="N40" s="178">
        <f t="shared" si="5"/>
        <v>-9</v>
      </c>
    </row>
    <row r="41" spans="1:14" ht="26.25">
      <c r="A41" s="204">
        <v>19050000</v>
      </c>
      <c r="B41" s="11" t="s">
        <v>43</v>
      </c>
      <c r="C41" s="178">
        <v>16.6</v>
      </c>
      <c r="D41" s="178">
        <v>0</v>
      </c>
      <c r="E41" s="178">
        <v>0</v>
      </c>
      <c r="F41" s="179">
        <f>E41-'01.05'!F42</f>
        <v>0</v>
      </c>
      <c r="G41" s="178">
        <v>0.1</v>
      </c>
      <c r="H41" s="179">
        <f>G41-'01.05'!G42</f>
        <v>0</v>
      </c>
      <c r="I41" s="200">
        <f t="shared" si="1"/>
        <v>0.6024096385542168</v>
      </c>
      <c r="J41" s="200" t="e">
        <f t="shared" si="2"/>
        <v>#DIV/0!</v>
      </c>
      <c r="K41" s="200" t="e">
        <f t="shared" si="11"/>
        <v>#DIV/0!</v>
      </c>
      <c r="L41" s="178">
        <f t="shared" si="3"/>
        <v>-16.5</v>
      </c>
      <c r="M41" s="178">
        <f t="shared" si="4"/>
        <v>0.1</v>
      </c>
      <c r="N41" s="178">
        <f t="shared" si="5"/>
        <v>0.1</v>
      </c>
    </row>
    <row r="42" spans="1:14" ht="64.5">
      <c r="A42" s="204">
        <v>24062100</v>
      </c>
      <c r="B42" s="11" t="s">
        <v>56</v>
      </c>
      <c r="C42" s="178">
        <v>0.1</v>
      </c>
      <c r="D42" s="178">
        <v>0</v>
      </c>
      <c r="E42" s="178">
        <v>0</v>
      </c>
      <c r="F42" s="179">
        <f>E42-'01.05'!F43</f>
        <v>0</v>
      </c>
      <c r="G42" s="178">
        <v>0</v>
      </c>
      <c r="H42" s="179">
        <f>G42-'01.05'!G43</f>
        <v>0</v>
      </c>
      <c r="I42" s="200">
        <f t="shared" si="1"/>
        <v>0</v>
      </c>
      <c r="J42" s="200" t="e">
        <f t="shared" si="2"/>
        <v>#DIV/0!</v>
      </c>
      <c r="K42" s="200" t="e">
        <f t="shared" si="11"/>
        <v>#DIV/0!</v>
      </c>
      <c r="L42" s="178">
        <f t="shared" si="3"/>
        <v>-0.1</v>
      </c>
      <c r="M42" s="178">
        <f t="shared" si="4"/>
        <v>0</v>
      </c>
      <c r="N42" s="178">
        <f t="shared" si="5"/>
        <v>0</v>
      </c>
    </row>
    <row r="43" spans="1:14" ht="27" customHeight="1">
      <c r="A43" s="301" t="s">
        <v>167</v>
      </c>
      <c r="B43" s="301"/>
      <c r="C43" s="208">
        <f aca="true" t="shared" si="17" ref="C43:H43">SUM(C44:C46)</f>
        <v>781.9</v>
      </c>
      <c r="D43" s="208">
        <f t="shared" si="17"/>
        <v>1800</v>
      </c>
      <c r="E43" s="208">
        <f t="shared" si="17"/>
        <v>741.9</v>
      </c>
      <c r="F43" s="208">
        <f t="shared" si="17"/>
        <v>153.29999999999995</v>
      </c>
      <c r="G43" s="208">
        <f t="shared" si="17"/>
        <v>1168.6999999999998</v>
      </c>
      <c r="H43" s="208">
        <f t="shared" si="17"/>
        <v>395.39999999999986</v>
      </c>
      <c r="I43" s="207">
        <f t="shared" si="1"/>
        <v>149.4692415909963</v>
      </c>
      <c r="J43" s="207">
        <f t="shared" si="2"/>
        <v>64.92777777777778</v>
      </c>
      <c r="K43" s="207">
        <f t="shared" si="11"/>
        <v>157.5279687289392</v>
      </c>
      <c r="L43" s="208">
        <f t="shared" si="3"/>
        <v>386.79999999999984</v>
      </c>
      <c r="M43" s="208">
        <f t="shared" si="4"/>
        <v>-631.3000000000002</v>
      </c>
      <c r="N43" s="208">
        <f t="shared" si="5"/>
        <v>426.79999999999984</v>
      </c>
    </row>
    <row r="44" spans="1:14" ht="15.75">
      <c r="A44" s="204">
        <v>18050000</v>
      </c>
      <c r="B44" s="11" t="s">
        <v>44</v>
      </c>
      <c r="C44" s="178">
        <v>781.9</v>
      </c>
      <c r="D44" s="178">
        <v>1800</v>
      </c>
      <c r="E44" s="178">
        <v>741.9</v>
      </c>
      <c r="F44" s="179">
        <f>E44-'01.05'!E45</f>
        <v>153.29999999999995</v>
      </c>
      <c r="G44" s="178">
        <v>1168.6</v>
      </c>
      <c r="H44" s="179">
        <f>G44-'01.05'!G45</f>
        <v>395.39999999999986</v>
      </c>
      <c r="I44" s="209">
        <f t="shared" si="1"/>
        <v>149.45645223174319</v>
      </c>
      <c r="J44" s="209">
        <f t="shared" si="2"/>
        <v>64.92222222222222</v>
      </c>
      <c r="K44" s="209">
        <f t="shared" si="11"/>
        <v>157.51448982342632</v>
      </c>
      <c r="L44" s="210">
        <f t="shared" si="3"/>
        <v>386.69999999999993</v>
      </c>
      <c r="M44" s="210">
        <f t="shared" si="4"/>
        <v>-631.4000000000001</v>
      </c>
      <c r="N44" s="210">
        <f t="shared" si="5"/>
        <v>426.69999999999993</v>
      </c>
    </row>
    <row r="45" spans="1:14" ht="39">
      <c r="A45" s="206">
        <v>31030000</v>
      </c>
      <c r="B45" s="11" t="s">
        <v>45</v>
      </c>
      <c r="C45" s="178">
        <v>0</v>
      </c>
      <c r="D45" s="178">
        <v>0</v>
      </c>
      <c r="E45" s="178">
        <v>0</v>
      </c>
      <c r="F45" s="179">
        <f>E45-'01.05'!E46</f>
        <v>0</v>
      </c>
      <c r="G45" s="178">
        <v>0.1</v>
      </c>
      <c r="H45" s="179">
        <f>G45-'01.05'!G46</f>
        <v>0</v>
      </c>
      <c r="I45" s="209" t="e">
        <f t="shared" si="1"/>
        <v>#DIV/0!</v>
      </c>
      <c r="J45" s="209" t="e">
        <f t="shared" si="2"/>
        <v>#DIV/0!</v>
      </c>
      <c r="K45" s="209" t="e">
        <f t="shared" si="11"/>
        <v>#DIV/0!</v>
      </c>
      <c r="L45" s="210">
        <f t="shared" si="3"/>
        <v>0.1</v>
      </c>
      <c r="M45" s="210">
        <f t="shared" si="4"/>
        <v>0.1</v>
      </c>
      <c r="N45" s="210">
        <f t="shared" si="5"/>
        <v>0.1</v>
      </c>
    </row>
    <row r="46" spans="1:14" ht="15.75" hidden="1">
      <c r="A46" s="206">
        <v>33010000</v>
      </c>
      <c r="B46" s="11" t="s">
        <v>46</v>
      </c>
      <c r="C46" s="178"/>
      <c r="D46" s="178"/>
      <c r="E46" s="178"/>
      <c r="F46" s="179"/>
      <c r="G46" s="178"/>
      <c r="H46" s="179"/>
      <c r="I46" s="209" t="e">
        <f t="shared" si="1"/>
        <v>#DIV/0!</v>
      </c>
      <c r="J46" s="209" t="e">
        <f t="shared" si="2"/>
        <v>#DIV/0!</v>
      </c>
      <c r="K46" s="209" t="e">
        <f t="shared" si="11"/>
        <v>#DIV/0!</v>
      </c>
      <c r="L46" s="210">
        <f t="shared" si="3"/>
        <v>0</v>
      </c>
      <c r="M46" s="210">
        <f t="shared" si="4"/>
        <v>0</v>
      </c>
      <c r="N46" s="210">
        <f t="shared" si="5"/>
        <v>0</v>
      </c>
    </row>
    <row r="47" spans="1:14" ht="17.25" customHeight="1">
      <c r="A47" s="297" t="s">
        <v>47</v>
      </c>
      <c r="B47" s="297"/>
      <c r="C47" s="208">
        <v>20.7</v>
      </c>
      <c r="D47" s="208">
        <v>0</v>
      </c>
      <c r="E47" s="208">
        <v>0</v>
      </c>
      <c r="F47" s="208">
        <f>E47-'01.05'!E48</f>
        <v>0</v>
      </c>
      <c r="G47" s="208">
        <v>369.9</v>
      </c>
      <c r="H47" s="208">
        <f>G47-'01.05'!G48</f>
        <v>323.5</v>
      </c>
      <c r="I47" s="207">
        <f>G47/C47*100</f>
        <v>1786.9565217391305</v>
      </c>
      <c r="J47" s="207" t="e">
        <f t="shared" si="2"/>
        <v>#DIV/0!</v>
      </c>
      <c r="K47" s="207" t="e">
        <f t="shared" si="11"/>
        <v>#DIV/0!</v>
      </c>
      <c r="L47" s="208">
        <f t="shared" si="3"/>
        <v>349.2</v>
      </c>
      <c r="M47" s="208">
        <f t="shared" si="4"/>
        <v>369.9</v>
      </c>
      <c r="N47" s="208">
        <f t="shared" si="5"/>
        <v>369.9</v>
      </c>
    </row>
    <row r="48" spans="1:14" ht="22.5" customHeight="1">
      <c r="A48" s="211" t="s">
        <v>51</v>
      </c>
      <c r="B48" s="21"/>
      <c r="C48" s="208">
        <v>1621.9</v>
      </c>
      <c r="D48" s="208">
        <v>3810.1</v>
      </c>
      <c r="E48" s="208">
        <v>1611.1</v>
      </c>
      <c r="F48" s="208">
        <f>E48-'01.05'!E49</f>
        <v>341.0999999999999</v>
      </c>
      <c r="G48" s="208">
        <v>1953.2</v>
      </c>
      <c r="H48" s="208">
        <f>G48-'01.05'!G49</f>
        <v>287.20000000000005</v>
      </c>
      <c r="I48" s="207">
        <f>G48/C48*100</f>
        <v>120.42666009001788</v>
      </c>
      <c r="J48" s="207">
        <f>G48/D48*100</f>
        <v>51.263746358363306</v>
      </c>
      <c r="K48" s="207">
        <f>G48/E48*100</f>
        <v>121.23393954441066</v>
      </c>
      <c r="L48" s="208">
        <f>G48-C48</f>
        <v>331.29999999999995</v>
      </c>
      <c r="M48" s="208">
        <f>G48-D48</f>
        <v>-1856.8999999999999</v>
      </c>
      <c r="N48" s="208">
        <f>G48-E48</f>
        <v>342.10000000000014</v>
      </c>
    </row>
    <row r="49" spans="1:14" ht="24.75" customHeight="1">
      <c r="A49" s="19" t="s">
        <v>48</v>
      </c>
      <c r="B49" s="217"/>
      <c r="C49" s="22">
        <f aca="true" t="shared" si="18" ref="C49:H49">C35+C39+C43+C47+C48</f>
        <v>2617.7</v>
      </c>
      <c r="D49" s="22">
        <f t="shared" si="18"/>
        <v>5858.1</v>
      </c>
      <c r="E49" s="22">
        <f t="shared" si="18"/>
        <v>2472.5</v>
      </c>
      <c r="F49" s="22">
        <f t="shared" si="18"/>
        <v>598.9999999999999</v>
      </c>
      <c r="G49" s="22">
        <f t="shared" si="18"/>
        <v>3655.7</v>
      </c>
      <c r="H49" s="22">
        <f t="shared" si="18"/>
        <v>1068.1</v>
      </c>
      <c r="I49" s="25">
        <f>G49/C49*100</f>
        <v>139.6531306108416</v>
      </c>
      <c r="J49" s="25">
        <f>G49/D49*100</f>
        <v>62.404192485618196</v>
      </c>
      <c r="K49" s="25">
        <f>G49/E49*100</f>
        <v>147.85439838220424</v>
      </c>
      <c r="L49" s="22">
        <f>G49-C49</f>
        <v>1038</v>
      </c>
      <c r="M49" s="22">
        <f>G49-D49</f>
        <v>-2202.4000000000005</v>
      </c>
      <c r="N49" s="22">
        <f>G49-E49</f>
        <v>1183.1999999999998</v>
      </c>
    </row>
    <row r="50" spans="1:14" ht="28.5" customHeight="1">
      <c r="A50" s="205">
        <v>40000000</v>
      </c>
      <c r="B50" s="20" t="s">
        <v>32</v>
      </c>
      <c r="C50" s="180">
        <f aca="true" t="shared" si="19" ref="C50:H50">SUM(C51:C53)</f>
        <v>1697.9</v>
      </c>
      <c r="D50" s="180">
        <f t="shared" si="19"/>
        <v>6271.2</v>
      </c>
      <c r="E50" s="180">
        <f t="shared" si="19"/>
        <v>2605.1</v>
      </c>
      <c r="F50" s="180">
        <f t="shared" si="19"/>
        <v>465.00000000000006</v>
      </c>
      <c r="G50" s="180">
        <f t="shared" si="19"/>
        <v>2605.1</v>
      </c>
      <c r="H50" s="180">
        <f t="shared" si="19"/>
        <v>615.7</v>
      </c>
      <c r="I50" s="201">
        <f t="shared" si="1"/>
        <v>153.43070852229224</v>
      </c>
      <c r="J50" s="201">
        <f t="shared" si="2"/>
        <v>41.540693966067096</v>
      </c>
      <c r="K50" s="201">
        <f t="shared" si="11"/>
        <v>100</v>
      </c>
      <c r="L50" s="180">
        <f t="shared" si="3"/>
        <v>907.1999999999998</v>
      </c>
      <c r="M50" s="180">
        <f t="shared" si="4"/>
        <v>-3666.1</v>
      </c>
      <c r="N50" s="180">
        <f t="shared" si="5"/>
        <v>0</v>
      </c>
    </row>
    <row r="51" spans="1:14" ht="67.5" customHeight="1">
      <c r="A51" s="206">
        <v>41034401</v>
      </c>
      <c r="B51" s="11" t="s">
        <v>161</v>
      </c>
      <c r="C51" s="210">
        <v>0</v>
      </c>
      <c r="D51" s="210">
        <v>1136.1</v>
      </c>
      <c r="E51" s="210">
        <v>433.8</v>
      </c>
      <c r="F51" s="179">
        <f>E51-'01.05'!E52</f>
        <v>89.90000000000003</v>
      </c>
      <c r="G51" s="210">
        <v>433.8</v>
      </c>
      <c r="H51" s="179">
        <f>G51-'01.05'!G52</f>
        <v>89.90000000000003</v>
      </c>
      <c r="I51" s="209" t="e">
        <f t="shared" si="1"/>
        <v>#DIV/0!</v>
      </c>
      <c r="J51" s="209">
        <f t="shared" si="2"/>
        <v>38.18325851597571</v>
      </c>
      <c r="K51" s="209">
        <f t="shared" si="11"/>
        <v>100</v>
      </c>
      <c r="L51" s="210">
        <f t="shared" si="3"/>
        <v>433.8</v>
      </c>
      <c r="M51" s="210">
        <f t="shared" si="4"/>
        <v>-702.3</v>
      </c>
      <c r="N51" s="210">
        <f t="shared" si="5"/>
        <v>0</v>
      </c>
    </row>
    <row r="52" spans="1:14" ht="21.75" customHeight="1">
      <c r="A52" s="206">
        <v>41035001</v>
      </c>
      <c r="B52" s="11" t="s">
        <v>163</v>
      </c>
      <c r="C52" s="210">
        <v>0</v>
      </c>
      <c r="D52" s="210">
        <v>505.3</v>
      </c>
      <c r="E52" s="210">
        <v>187.8</v>
      </c>
      <c r="F52" s="179">
        <f>E52-'01.05'!E53</f>
        <v>37.10000000000002</v>
      </c>
      <c r="G52" s="210">
        <v>187.8</v>
      </c>
      <c r="H52" s="179">
        <f>G52-'01.05'!G53</f>
        <v>187.8</v>
      </c>
      <c r="I52" s="209" t="e">
        <f>G52/C52*100</f>
        <v>#DIV/0!</v>
      </c>
      <c r="J52" s="209">
        <f>G52/D52*100</f>
        <v>37.16603997625174</v>
      </c>
      <c r="K52" s="209">
        <f>G52/E52*100</f>
        <v>100</v>
      </c>
      <c r="L52" s="210">
        <f>G52-C52</f>
        <v>187.8</v>
      </c>
      <c r="M52" s="210">
        <f>G52-D52</f>
        <v>-317.5</v>
      </c>
      <c r="N52" s="210">
        <f>G52-E52</f>
        <v>0</v>
      </c>
    </row>
    <row r="53" spans="1:14" ht="87.75" customHeight="1">
      <c r="A53" s="206">
        <v>41035101</v>
      </c>
      <c r="B53" s="11" t="s">
        <v>49</v>
      </c>
      <c r="C53" s="210">
        <v>1697.9</v>
      </c>
      <c r="D53" s="210">
        <v>4629.8</v>
      </c>
      <c r="E53" s="210">
        <v>1983.5</v>
      </c>
      <c r="F53" s="179">
        <f>E53-'01.05'!E54</f>
        <v>338</v>
      </c>
      <c r="G53" s="210">
        <v>1983.5</v>
      </c>
      <c r="H53" s="179">
        <f>G53-'01.05'!G54</f>
        <v>338</v>
      </c>
      <c r="I53" s="209">
        <f>G53/C53*100</f>
        <v>116.82077860886977</v>
      </c>
      <c r="J53" s="209">
        <f>G53/D53*100</f>
        <v>42.842023413538385</v>
      </c>
      <c r="K53" s="209">
        <f>G53/E53*100</f>
        <v>100</v>
      </c>
      <c r="L53" s="210">
        <f>G53-C53</f>
        <v>285.5999999999999</v>
      </c>
      <c r="M53" s="210">
        <f>G53-D53</f>
        <v>-2646.3</v>
      </c>
      <c r="N53" s="210">
        <f>G53-E53</f>
        <v>0</v>
      </c>
    </row>
    <row r="54" spans="1:14" ht="39.75" customHeight="1">
      <c r="A54" s="298" t="s">
        <v>52</v>
      </c>
      <c r="B54" s="298"/>
      <c r="C54" s="212">
        <f aca="true" t="shared" si="20" ref="C54:H54">C49+C50</f>
        <v>4315.6</v>
      </c>
      <c r="D54" s="212">
        <f t="shared" si="20"/>
        <v>12129.3</v>
      </c>
      <c r="E54" s="212">
        <f t="shared" si="20"/>
        <v>5077.6</v>
      </c>
      <c r="F54" s="212">
        <f t="shared" si="20"/>
        <v>1064</v>
      </c>
      <c r="G54" s="212">
        <f t="shared" si="20"/>
        <v>6260.799999999999</v>
      </c>
      <c r="H54" s="212">
        <f t="shared" si="20"/>
        <v>1683.8</v>
      </c>
      <c r="I54" s="213">
        <f t="shared" si="1"/>
        <v>145.07368616183146</v>
      </c>
      <c r="J54" s="213">
        <f t="shared" si="2"/>
        <v>51.61715845102355</v>
      </c>
      <c r="K54" s="213">
        <f t="shared" si="11"/>
        <v>123.30234756577909</v>
      </c>
      <c r="L54" s="212">
        <f t="shared" si="3"/>
        <v>1945.199999999999</v>
      </c>
      <c r="M54" s="212">
        <f t="shared" si="4"/>
        <v>-5868.5</v>
      </c>
      <c r="N54" s="212">
        <f t="shared" si="5"/>
        <v>1183.199999999999</v>
      </c>
    </row>
    <row r="55" spans="1:14" ht="40.5" customHeight="1">
      <c r="A55" s="311" t="s">
        <v>53</v>
      </c>
      <c r="B55" s="311"/>
      <c r="C55" s="214">
        <f aca="true" t="shared" si="21" ref="C55:H55">C33+C54</f>
        <v>52978</v>
      </c>
      <c r="D55" s="214">
        <f t="shared" si="21"/>
        <v>163285.69999999998</v>
      </c>
      <c r="E55" s="214">
        <f t="shared" si="21"/>
        <v>66635.8</v>
      </c>
      <c r="F55" s="214">
        <f t="shared" si="21"/>
        <v>14101.300000000001</v>
      </c>
      <c r="G55" s="214">
        <f t="shared" si="21"/>
        <v>67998.3</v>
      </c>
      <c r="H55" s="214">
        <f t="shared" si="21"/>
        <v>14091.699999999999</v>
      </c>
      <c r="I55" s="215">
        <f t="shared" si="1"/>
        <v>128.351957416286</v>
      </c>
      <c r="J55" s="215">
        <f t="shared" si="2"/>
        <v>41.64375692421321</v>
      </c>
      <c r="K55" s="215">
        <f t="shared" si="11"/>
        <v>102.0446966945696</v>
      </c>
      <c r="L55" s="214">
        <f t="shared" si="3"/>
        <v>15020.300000000003</v>
      </c>
      <c r="M55" s="214">
        <f t="shared" si="4"/>
        <v>-95287.39999999998</v>
      </c>
      <c r="N55" s="214">
        <f t="shared" si="5"/>
        <v>1362.5</v>
      </c>
    </row>
    <row r="56" spans="2:8" ht="12.75">
      <c r="B56" s="6"/>
      <c r="C56" s="24"/>
      <c r="D56" s="24"/>
      <c r="E56" s="24"/>
      <c r="F56" s="24"/>
      <c r="G56" s="24"/>
      <c r="H56" s="24"/>
    </row>
  </sheetData>
  <mergeCells count="31">
    <mergeCell ref="L1:N1"/>
    <mergeCell ref="A3:N3"/>
    <mergeCell ref="I6:I7"/>
    <mergeCell ref="J6:J7"/>
    <mergeCell ref="B5:B7"/>
    <mergeCell ref="A5:A7"/>
    <mergeCell ref="I5:K5"/>
    <mergeCell ref="K6:K7"/>
    <mergeCell ref="G5:H5"/>
    <mergeCell ref="C5:C7"/>
    <mergeCell ref="D5:F5"/>
    <mergeCell ref="E6:F6"/>
    <mergeCell ref="D6:D7"/>
    <mergeCell ref="G6:G7"/>
    <mergeCell ref="H6:H7"/>
    <mergeCell ref="L5:N5"/>
    <mergeCell ref="L6:L7"/>
    <mergeCell ref="M6:M7"/>
    <mergeCell ref="N6:N7"/>
    <mergeCell ref="A9:N9"/>
    <mergeCell ref="A13:B13"/>
    <mergeCell ref="A28:B28"/>
    <mergeCell ref="A29:B29"/>
    <mergeCell ref="A33:B33"/>
    <mergeCell ref="A34:N34"/>
    <mergeCell ref="A39:B39"/>
    <mergeCell ref="A35:B35"/>
    <mergeCell ref="A43:B43"/>
    <mergeCell ref="A47:B47"/>
    <mergeCell ref="A54:B54"/>
    <mergeCell ref="A55:B55"/>
  </mergeCells>
  <printOptions horizontalCentered="1"/>
  <pageMargins left="0.65" right="0.3937007874015748" top="0.73" bottom="0.79" header="0.74" footer="0.5118110236220472"/>
  <pageSetup horizontalDpi="600" verticalDpi="600" orientation="portrait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6"/>
  <sheetViews>
    <sheetView view="pageBreakPreview" zoomScaleSheetLayoutView="100" workbookViewId="0" topLeftCell="A4">
      <selection activeCell="A4" sqref="A1:IV16384"/>
    </sheetView>
  </sheetViews>
  <sheetFormatPr defaultColWidth="9.00390625" defaultRowHeight="12.75"/>
  <cols>
    <col min="1" max="1" width="12.75390625" style="5" customWidth="1"/>
    <col min="2" max="2" width="33.125" style="5" customWidth="1"/>
    <col min="3" max="3" width="13.375" style="0" customWidth="1"/>
    <col min="4" max="4" width="14.125" style="0" customWidth="1"/>
    <col min="5" max="5" width="12.375" style="0" customWidth="1"/>
    <col min="6" max="6" width="12.625" style="0" customWidth="1"/>
    <col min="7" max="7" width="14.00390625" style="0" customWidth="1"/>
    <col min="8" max="8" width="12.375" style="0" customWidth="1"/>
    <col min="9" max="9" width="12.25390625" style="13" customWidth="1"/>
    <col min="10" max="10" width="13.125" style="13" customWidth="1"/>
    <col min="11" max="11" width="12.625" style="13" customWidth="1"/>
    <col min="12" max="12" width="13.75390625" style="0" customWidth="1"/>
    <col min="13" max="13" width="14.375" style="0" customWidth="1"/>
    <col min="14" max="14" width="12.75390625" style="0" customWidth="1"/>
  </cols>
  <sheetData>
    <row r="1" spans="12:14" ht="15">
      <c r="L1" s="312" t="s">
        <v>54</v>
      </c>
      <c r="M1" s="312"/>
      <c r="N1" s="312"/>
    </row>
    <row r="3" spans="1:14" ht="22.5">
      <c r="A3" s="313" t="s">
        <v>184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</row>
    <row r="5" spans="1:14" ht="15" customHeight="1">
      <c r="A5" s="318" t="s">
        <v>5</v>
      </c>
      <c r="B5" s="315" t="s">
        <v>7</v>
      </c>
      <c r="C5" s="289" t="s">
        <v>186</v>
      </c>
      <c r="D5" s="272" t="s">
        <v>3</v>
      </c>
      <c r="E5" s="266"/>
      <c r="F5" s="267"/>
      <c r="G5" s="283" t="s">
        <v>2</v>
      </c>
      <c r="H5" s="284"/>
      <c r="I5" s="314" t="s">
        <v>0</v>
      </c>
      <c r="J5" s="314"/>
      <c r="K5" s="314"/>
      <c r="L5" s="306" t="s">
        <v>1</v>
      </c>
      <c r="M5" s="306"/>
      <c r="N5" s="307"/>
    </row>
    <row r="6" spans="1:14" ht="15" customHeight="1">
      <c r="A6" s="319"/>
      <c r="B6" s="316"/>
      <c r="C6" s="308"/>
      <c r="D6" s="289" t="s">
        <v>156</v>
      </c>
      <c r="E6" s="309" t="s">
        <v>6</v>
      </c>
      <c r="F6" s="310"/>
      <c r="G6" s="283" t="s">
        <v>158</v>
      </c>
      <c r="H6" s="304" t="s">
        <v>185</v>
      </c>
      <c r="I6" s="314" t="s">
        <v>4</v>
      </c>
      <c r="J6" s="314" t="s">
        <v>148</v>
      </c>
      <c r="K6" s="314" t="s">
        <v>153</v>
      </c>
      <c r="L6" s="314" t="s">
        <v>4</v>
      </c>
      <c r="M6" s="314" t="s">
        <v>148</v>
      </c>
      <c r="N6" s="314" t="s">
        <v>153</v>
      </c>
    </row>
    <row r="7" spans="1:14" ht="57" customHeight="1">
      <c r="A7" s="320"/>
      <c r="B7" s="317"/>
      <c r="C7" s="264"/>
      <c r="D7" s="264"/>
      <c r="E7" s="4" t="s">
        <v>157</v>
      </c>
      <c r="F7" s="12" t="s">
        <v>185</v>
      </c>
      <c r="G7" s="285"/>
      <c r="H7" s="305"/>
      <c r="I7" s="314"/>
      <c r="J7" s="314"/>
      <c r="K7" s="314"/>
      <c r="L7" s="314"/>
      <c r="M7" s="314"/>
      <c r="N7" s="314"/>
    </row>
    <row r="8" spans="1:14" s="220" customFormat="1" ht="12.75">
      <c r="A8" s="216">
        <v>1</v>
      </c>
      <c r="B8" s="28">
        <v>2</v>
      </c>
      <c r="C8" s="218">
        <v>3</v>
      </c>
      <c r="D8" s="218">
        <v>4</v>
      </c>
      <c r="E8" s="219">
        <v>5</v>
      </c>
      <c r="F8" s="219">
        <v>6</v>
      </c>
      <c r="G8" s="218">
        <v>7</v>
      </c>
      <c r="H8" s="218">
        <v>8</v>
      </c>
      <c r="I8" s="218">
        <v>9</v>
      </c>
      <c r="J8" s="218">
        <v>10</v>
      </c>
      <c r="K8" s="218">
        <v>11</v>
      </c>
      <c r="L8" s="218">
        <v>12</v>
      </c>
      <c r="M8" s="218">
        <v>13</v>
      </c>
      <c r="N8" s="218">
        <v>14</v>
      </c>
    </row>
    <row r="9" spans="1:14" ht="24" customHeight="1">
      <c r="A9" s="303" t="s">
        <v>36</v>
      </c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</row>
    <row r="10" spans="1:14" ht="54" customHeight="1">
      <c r="A10" s="199">
        <v>11010000</v>
      </c>
      <c r="B10" s="11" t="s">
        <v>13</v>
      </c>
      <c r="C10" s="178">
        <v>39785.9</v>
      </c>
      <c r="D10" s="177">
        <v>102041.7</v>
      </c>
      <c r="E10" s="178">
        <v>50398.4</v>
      </c>
      <c r="F10" s="179">
        <f>E10-'01.06'!E10</f>
        <v>8287</v>
      </c>
      <c r="G10" s="178">
        <v>49966.7</v>
      </c>
      <c r="H10" s="179">
        <f>G10-'01.06'!G10</f>
        <v>8030.399999999994</v>
      </c>
      <c r="I10" s="200">
        <f>G10/C10*100</f>
        <v>125.58896493481357</v>
      </c>
      <c r="J10" s="200">
        <f>G10/D10*100</f>
        <v>48.966941946282745</v>
      </c>
      <c r="K10" s="200">
        <f>G10/E10*100</f>
        <v>99.14342518810119</v>
      </c>
      <c r="L10" s="178">
        <f>G10-C10</f>
        <v>10180.799999999996</v>
      </c>
      <c r="M10" s="178">
        <f>G10-D10</f>
        <v>-52075</v>
      </c>
      <c r="N10" s="178">
        <f>G10-E10</f>
        <v>-431.70000000000437</v>
      </c>
    </row>
    <row r="11" spans="1:14" ht="39">
      <c r="A11" s="199">
        <v>22010300</v>
      </c>
      <c r="B11" s="11" t="s">
        <v>10</v>
      </c>
      <c r="C11" s="178">
        <v>8.7</v>
      </c>
      <c r="D11" s="177">
        <v>16.5</v>
      </c>
      <c r="E11" s="178">
        <v>7.1</v>
      </c>
      <c r="F11" s="179">
        <f>E11-'01.06'!E11</f>
        <v>1.5999999999999996</v>
      </c>
      <c r="G11" s="178">
        <v>7.5</v>
      </c>
      <c r="H11" s="179">
        <f>G11-'01.06'!G11</f>
        <v>0.9000000000000004</v>
      </c>
      <c r="I11" s="200">
        <f>G11/C11*100</f>
        <v>86.20689655172414</v>
      </c>
      <c r="J11" s="200">
        <f>G11/D11*100</f>
        <v>45.45454545454545</v>
      </c>
      <c r="K11" s="200">
        <f>G11/E11*100</f>
        <v>105.63380281690142</v>
      </c>
      <c r="L11" s="178">
        <f>G11-C11</f>
        <v>-1.1999999999999993</v>
      </c>
      <c r="M11" s="178">
        <f>G11-D11</f>
        <v>-9</v>
      </c>
      <c r="N11" s="178">
        <f>G11-E11</f>
        <v>0.40000000000000036</v>
      </c>
    </row>
    <row r="12" spans="1:14" ht="18.75" customHeight="1">
      <c r="A12" s="199">
        <v>22090000</v>
      </c>
      <c r="B12" s="11" t="s">
        <v>11</v>
      </c>
      <c r="C12" s="178">
        <v>30</v>
      </c>
      <c r="D12" s="177">
        <v>60</v>
      </c>
      <c r="E12" s="178">
        <v>31.2</v>
      </c>
      <c r="F12" s="179">
        <f>E12-'01.06'!E12</f>
        <v>7.199999999999999</v>
      </c>
      <c r="G12" s="178">
        <v>37.7</v>
      </c>
      <c r="H12" s="179">
        <f>G12-'01.06'!G12</f>
        <v>1.4000000000000057</v>
      </c>
      <c r="I12" s="200">
        <f>G12/C12*100</f>
        <v>125.66666666666669</v>
      </c>
      <c r="J12" s="200">
        <f>G12/D12*100</f>
        <v>62.83333333333334</v>
      </c>
      <c r="K12" s="200">
        <f>G12/E12*100</f>
        <v>120.83333333333334</v>
      </c>
      <c r="L12" s="178">
        <f>G12-C12</f>
        <v>7.700000000000003</v>
      </c>
      <c r="M12" s="178">
        <f>G12-D12</f>
        <v>-22.299999999999997</v>
      </c>
      <c r="N12" s="178">
        <f>G12-E12</f>
        <v>6.5000000000000036</v>
      </c>
    </row>
    <row r="13" spans="1:14" ht="30" customHeight="1">
      <c r="A13" s="301" t="s">
        <v>12</v>
      </c>
      <c r="B13" s="301"/>
      <c r="C13" s="180">
        <f aca="true" t="shared" si="0" ref="C13:H13">SUM(C10:C12)</f>
        <v>39824.6</v>
      </c>
      <c r="D13" s="180">
        <f t="shared" si="0"/>
        <v>102118.2</v>
      </c>
      <c r="E13" s="180">
        <f t="shared" si="0"/>
        <v>50436.7</v>
      </c>
      <c r="F13" s="180">
        <f t="shared" si="0"/>
        <v>8295.800000000001</v>
      </c>
      <c r="G13" s="180">
        <f t="shared" si="0"/>
        <v>50011.899999999994</v>
      </c>
      <c r="H13" s="180">
        <f t="shared" si="0"/>
        <v>8032.699999999993</v>
      </c>
      <c r="I13" s="201">
        <f>G13/C13*100</f>
        <v>125.58042014232409</v>
      </c>
      <c r="J13" s="201">
        <f>G13/D13*100</f>
        <v>48.97452168173743</v>
      </c>
      <c r="K13" s="201">
        <f>G13/E13*100</f>
        <v>99.15775615771848</v>
      </c>
      <c r="L13" s="180">
        <f>G13-C13</f>
        <v>10187.299999999996</v>
      </c>
      <c r="M13" s="180">
        <f>G13-D13</f>
        <v>-52106.3</v>
      </c>
      <c r="N13" s="180">
        <f>G13-E13</f>
        <v>-424.8000000000029</v>
      </c>
    </row>
    <row r="14" spans="1:14" ht="39">
      <c r="A14" s="202">
        <v>11010600</v>
      </c>
      <c r="B14" s="11" t="s">
        <v>14</v>
      </c>
      <c r="C14" s="178">
        <v>34</v>
      </c>
      <c r="D14" s="178">
        <v>0</v>
      </c>
      <c r="E14" s="178">
        <v>0</v>
      </c>
      <c r="F14" s="179">
        <f>E14-'01.06'!E14</f>
        <v>0</v>
      </c>
      <c r="G14" s="178">
        <v>-0.4</v>
      </c>
      <c r="H14" s="179">
        <f>G14-'01.06'!G14</f>
        <v>0</v>
      </c>
      <c r="I14" s="200">
        <f aca="true" t="shared" si="1" ref="I14:I55">G14/C14*100</f>
        <v>-1.1764705882352942</v>
      </c>
      <c r="J14" s="200" t="e">
        <f aca="true" t="shared" si="2" ref="J14:J55">G14/D14*100</f>
        <v>#DIV/0!</v>
      </c>
      <c r="K14" s="200" t="e">
        <f>G14/E14*100</f>
        <v>#DIV/0!</v>
      </c>
      <c r="L14" s="178">
        <f aca="true" t="shared" si="3" ref="L14:L55">G14-C14</f>
        <v>-34.4</v>
      </c>
      <c r="M14" s="178">
        <f aca="true" t="shared" si="4" ref="M14:M55">G14-D14</f>
        <v>-0.4</v>
      </c>
      <c r="N14" s="178">
        <f aca="true" t="shared" si="5" ref="N14:N55">G14-E14</f>
        <v>-0.4</v>
      </c>
    </row>
    <row r="15" spans="1:14" ht="38.25">
      <c r="A15" s="203" t="s">
        <v>15</v>
      </c>
      <c r="B15" s="14" t="s">
        <v>16</v>
      </c>
      <c r="C15" s="178">
        <v>34.9</v>
      </c>
      <c r="D15" s="178">
        <v>100</v>
      </c>
      <c r="E15" s="178">
        <v>51.2</v>
      </c>
      <c r="F15" s="179">
        <f>E15-'01.06'!E15</f>
        <v>4</v>
      </c>
      <c r="G15" s="178">
        <v>173.8</v>
      </c>
      <c r="H15" s="179">
        <f>G15-'01.06'!G15</f>
        <v>0</v>
      </c>
      <c r="I15" s="200">
        <f aca="true" t="shared" si="6" ref="I15:I27">G15/C15*100</f>
        <v>497.99426934097426</v>
      </c>
      <c r="J15" s="200">
        <f aca="true" t="shared" si="7" ref="J15:J27">G15/D15*100</f>
        <v>173.8</v>
      </c>
      <c r="K15" s="200">
        <f aca="true" t="shared" si="8" ref="K15:K27">G15/E15*100</f>
        <v>339.453125</v>
      </c>
      <c r="L15" s="178">
        <f>G15-C15</f>
        <v>138.9</v>
      </c>
      <c r="M15" s="178">
        <f t="shared" si="4"/>
        <v>73.80000000000001</v>
      </c>
      <c r="N15" s="178">
        <f t="shared" si="5"/>
        <v>122.60000000000001</v>
      </c>
    </row>
    <row r="16" spans="1:14" ht="15" customHeight="1">
      <c r="A16" s="204">
        <v>13050000</v>
      </c>
      <c r="B16" s="11" t="s">
        <v>17</v>
      </c>
      <c r="C16" s="178">
        <v>6783</v>
      </c>
      <c r="D16" s="178">
        <v>14200</v>
      </c>
      <c r="E16" s="178">
        <v>6661.1</v>
      </c>
      <c r="F16" s="179">
        <f>E16-'01.06'!E16</f>
        <v>886.8000000000002</v>
      </c>
      <c r="G16" s="178">
        <v>7174.1</v>
      </c>
      <c r="H16" s="179">
        <f>G16-'01.06'!G16</f>
        <v>1170.8000000000002</v>
      </c>
      <c r="I16" s="200">
        <f t="shared" si="6"/>
        <v>105.76588530148902</v>
      </c>
      <c r="J16" s="200">
        <f t="shared" si="7"/>
        <v>50.52183098591549</v>
      </c>
      <c r="K16" s="200">
        <f t="shared" si="8"/>
        <v>107.70143069463</v>
      </c>
      <c r="L16" s="178">
        <f t="shared" si="3"/>
        <v>391.10000000000036</v>
      </c>
      <c r="M16" s="178">
        <f t="shared" si="4"/>
        <v>-7025.9</v>
      </c>
      <c r="N16" s="178">
        <f t="shared" si="5"/>
        <v>513</v>
      </c>
    </row>
    <row r="17" spans="1:14" ht="26.25">
      <c r="A17" s="204">
        <v>18000000</v>
      </c>
      <c r="B17" s="11" t="s">
        <v>164</v>
      </c>
      <c r="C17" s="181">
        <f>SUM(C18:C20)</f>
        <v>116.7</v>
      </c>
      <c r="D17" s="181">
        <f>SUM(D18:D20)</f>
        <v>242</v>
      </c>
      <c r="E17" s="181">
        <f>SUM(E18:E20)</f>
        <v>119</v>
      </c>
      <c r="F17" s="179">
        <f>E17-'01.06'!E17</f>
        <v>19.700000000000003</v>
      </c>
      <c r="G17" s="181">
        <f>SUM(G18:G20)</f>
        <v>135.20000000000002</v>
      </c>
      <c r="H17" s="179">
        <f>G17-'01.06'!G17</f>
        <v>22.30000000000001</v>
      </c>
      <c r="I17" s="200">
        <f t="shared" si="6"/>
        <v>115.85261353898888</v>
      </c>
      <c r="J17" s="200">
        <f t="shared" si="7"/>
        <v>55.86776859504133</v>
      </c>
      <c r="K17" s="200">
        <f t="shared" si="8"/>
        <v>113.61344537815128</v>
      </c>
      <c r="L17" s="178">
        <f t="shared" si="3"/>
        <v>18.500000000000014</v>
      </c>
      <c r="M17" s="178">
        <f t="shared" si="4"/>
        <v>-106.79999999999998</v>
      </c>
      <c r="N17" s="178">
        <f t="shared" si="5"/>
        <v>16.200000000000017</v>
      </c>
    </row>
    <row r="18" spans="1:14" ht="15.75" hidden="1">
      <c r="A18" s="204">
        <v>18020000</v>
      </c>
      <c r="B18" s="10" t="s">
        <v>19</v>
      </c>
      <c r="C18" s="178"/>
      <c r="D18" s="178"/>
      <c r="E18" s="178"/>
      <c r="F18" s="179">
        <f>E18-'01.06'!E18</f>
        <v>0</v>
      </c>
      <c r="G18" s="178"/>
      <c r="H18" s="179">
        <f>G18-'01.06'!G18</f>
        <v>0</v>
      </c>
      <c r="I18" s="200" t="e">
        <f t="shared" si="6"/>
        <v>#DIV/0!</v>
      </c>
      <c r="J18" s="200" t="e">
        <f t="shared" si="7"/>
        <v>#DIV/0!</v>
      </c>
      <c r="K18" s="200" t="e">
        <f t="shared" si="8"/>
        <v>#DIV/0!</v>
      </c>
      <c r="L18" s="178">
        <f t="shared" si="3"/>
        <v>0</v>
      </c>
      <c r="M18" s="178">
        <f t="shared" si="4"/>
        <v>0</v>
      </c>
      <c r="N18" s="178">
        <f t="shared" si="5"/>
        <v>0</v>
      </c>
    </row>
    <row r="19" spans="1:14" ht="15.75">
      <c r="A19" s="204">
        <v>18030000</v>
      </c>
      <c r="B19" s="10" t="s">
        <v>20</v>
      </c>
      <c r="C19" s="178">
        <v>1</v>
      </c>
      <c r="D19" s="178">
        <v>2</v>
      </c>
      <c r="E19" s="178">
        <v>1</v>
      </c>
      <c r="F19" s="179">
        <f>E19-'01.06'!E19</f>
        <v>0.30000000000000004</v>
      </c>
      <c r="G19" s="178">
        <v>3.4</v>
      </c>
      <c r="H19" s="179">
        <f>G19-'01.06'!G19</f>
        <v>1.1999999999999997</v>
      </c>
      <c r="I19" s="200">
        <f t="shared" si="6"/>
        <v>340</v>
      </c>
      <c r="J19" s="200">
        <f t="shared" si="7"/>
        <v>170</v>
      </c>
      <c r="K19" s="200">
        <f t="shared" si="8"/>
        <v>340</v>
      </c>
      <c r="L19" s="178">
        <f t="shared" si="3"/>
        <v>2.4</v>
      </c>
      <c r="M19" s="178">
        <f t="shared" si="4"/>
        <v>1.4</v>
      </c>
      <c r="N19" s="178">
        <f t="shared" si="5"/>
        <v>2.4</v>
      </c>
    </row>
    <row r="20" spans="1:14" ht="26.25">
      <c r="A20" s="204">
        <v>18040000</v>
      </c>
      <c r="B20" s="11" t="s">
        <v>21</v>
      </c>
      <c r="C20" s="178">
        <v>115.7</v>
      </c>
      <c r="D20" s="178">
        <v>240</v>
      </c>
      <c r="E20" s="178">
        <v>118</v>
      </c>
      <c r="F20" s="179">
        <f>E20-'01.06'!E20</f>
        <v>19.400000000000006</v>
      </c>
      <c r="G20" s="178">
        <v>131.8</v>
      </c>
      <c r="H20" s="179">
        <f>G20-'01.06'!G20</f>
        <v>21.10000000000001</v>
      </c>
      <c r="I20" s="200">
        <f t="shared" si="6"/>
        <v>113.91529818496112</v>
      </c>
      <c r="J20" s="200">
        <f t="shared" si="7"/>
        <v>54.91666666666667</v>
      </c>
      <c r="K20" s="200">
        <f t="shared" si="8"/>
        <v>111.69491525423729</v>
      </c>
      <c r="L20" s="178">
        <f t="shared" si="3"/>
        <v>16.10000000000001</v>
      </c>
      <c r="M20" s="178">
        <f t="shared" si="4"/>
        <v>-108.19999999999999</v>
      </c>
      <c r="N20" s="178">
        <f t="shared" si="5"/>
        <v>13.800000000000011</v>
      </c>
    </row>
    <row r="21" spans="1:14" ht="26.25">
      <c r="A21" s="204">
        <v>19040100</v>
      </c>
      <c r="B21" s="11" t="s">
        <v>41</v>
      </c>
      <c r="C21" s="178">
        <v>0.1</v>
      </c>
      <c r="D21" s="178">
        <v>0</v>
      </c>
      <c r="E21" s="178">
        <v>0</v>
      </c>
      <c r="F21" s="179">
        <f>E21-'01.06'!E21</f>
        <v>0</v>
      </c>
      <c r="G21" s="178">
        <v>0.2</v>
      </c>
      <c r="H21" s="179">
        <f>G21-'01.06'!G21</f>
        <v>0</v>
      </c>
      <c r="I21" s="200">
        <f t="shared" si="6"/>
        <v>200</v>
      </c>
      <c r="J21" s="200" t="e">
        <f t="shared" si="7"/>
        <v>#DIV/0!</v>
      </c>
      <c r="K21" s="200" t="e">
        <f t="shared" si="8"/>
        <v>#DIV/0!</v>
      </c>
      <c r="L21" s="178">
        <f>G21-C21</f>
        <v>0.1</v>
      </c>
      <c r="M21" s="178">
        <f>G21-D21</f>
        <v>0.2</v>
      </c>
      <c r="N21" s="178">
        <f>G21-E21</f>
        <v>0.2</v>
      </c>
    </row>
    <row r="22" spans="1:14" ht="51">
      <c r="A22" s="44" t="s">
        <v>26</v>
      </c>
      <c r="B22" s="8" t="s">
        <v>162</v>
      </c>
      <c r="C22" s="178">
        <v>1.1</v>
      </c>
      <c r="D22" s="178">
        <v>0</v>
      </c>
      <c r="E22" s="178">
        <v>0</v>
      </c>
      <c r="F22" s="179">
        <f>E22-'01.06'!E22</f>
        <v>0</v>
      </c>
      <c r="G22" s="178">
        <v>0</v>
      </c>
      <c r="H22" s="179">
        <f>G22-'01.06'!G22</f>
        <v>0</v>
      </c>
      <c r="I22" s="200">
        <f t="shared" si="6"/>
        <v>0</v>
      </c>
      <c r="J22" s="200" t="e">
        <f t="shared" si="7"/>
        <v>#DIV/0!</v>
      </c>
      <c r="K22" s="200" t="e">
        <f t="shared" si="8"/>
        <v>#DIV/0!</v>
      </c>
      <c r="L22" s="178">
        <f t="shared" si="3"/>
        <v>-1.1</v>
      </c>
      <c r="M22" s="178">
        <f t="shared" si="4"/>
        <v>0</v>
      </c>
      <c r="N22" s="178">
        <f t="shared" si="5"/>
        <v>0</v>
      </c>
    </row>
    <row r="23" spans="1:14" ht="15.75">
      <c r="A23" s="203" t="s">
        <v>24</v>
      </c>
      <c r="B23" s="9" t="s">
        <v>25</v>
      </c>
      <c r="C23" s="178">
        <v>7.1</v>
      </c>
      <c r="D23" s="178">
        <v>15</v>
      </c>
      <c r="E23" s="178">
        <v>6.9</v>
      </c>
      <c r="F23" s="179">
        <f>E23-'01.06'!E23</f>
        <v>1.2000000000000002</v>
      </c>
      <c r="G23" s="178">
        <v>13.2</v>
      </c>
      <c r="H23" s="179">
        <f>G23-'01.06'!G23</f>
        <v>0.29999999999999893</v>
      </c>
      <c r="I23" s="200">
        <f t="shared" si="6"/>
        <v>185.91549295774647</v>
      </c>
      <c r="J23" s="200">
        <f t="shared" si="7"/>
        <v>88</v>
      </c>
      <c r="K23" s="200">
        <f t="shared" si="8"/>
        <v>191.30434782608694</v>
      </c>
      <c r="L23" s="178">
        <f t="shared" si="3"/>
        <v>6.1</v>
      </c>
      <c r="M23" s="178">
        <f t="shared" si="4"/>
        <v>-1.8000000000000007</v>
      </c>
      <c r="N23" s="178">
        <f t="shared" si="5"/>
        <v>6.299999999999999</v>
      </c>
    </row>
    <row r="24" spans="1:14" ht="53.25" customHeight="1">
      <c r="A24" s="203" t="s">
        <v>22</v>
      </c>
      <c r="B24" s="18" t="s">
        <v>23</v>
      </c>
      <c r="C24" s="178">
        <v>295</v>
      </c>
      <c r="D24" s="178">
        <v>645</v>
      </c>
      <c r="E24" s="178">
        <v>307.9</v>
      </c>
      <c r="F24" s="179">
        <f>E24-'01.06'!E24</f>
        <v>51</v>
      </c>
      <c r="G24" s="178">
        <v>342.1</v>
      </c>
      <c r="H24" s="179">
        <f>G24-'01.06'!G24</f>
        <v>57.30000000000001</v>
      </c>
      <c r="I24" s="200">
        <f t="shared" si="6"/>
        <v>115.96610169491525</v>
      </c>
      <c r="J24" s="200">
        <f t="shared" si="7"/>
        <v>53.038759689922486</v>
      </c>
      <c r="K24" s="200">
        <f t="shared" si="8"/>
        <v>111.1075024358558</v>
      </c>
      <c r="L24" s="178">
        <f t="shared" si="3"/>
        <v>47.10000000000002</v>
      </c>
      <c r="M24" s="178">
        <f t="shared" si="4"/>
        <v>-302.9</v>
      </c>
      <c r="N24" s="178">
        <f t="shared" si="5"/>
        <v>34.200000000000045</v>
      </c>
    </row>
    <row r="25" spans="1:14" ht="31.5">
      <c r="A25" s="204" t="s">
        <v>55</v>
      </c>
      <c r="B25" s="10" t="s">
        <v>28</v>
      </c>
      <c r="C25" s="178">
        <v>162</v>
      </c>
      <c r="D25" s="178">
        <v>0</v>
      </c>
      <c r="E25" s="178">
        <v>0</v>
      </c>
      <c r="F25" s="179">
        <f>E25-'01.06'!E25</f>
        <v>0</v>
      </c>
      <c r="G25" s="178">
        <v>16.7</v>
      </c>
      <c r="H25" s="179">
        <f>G25-'01.06'!G25</f>
        <v>-0.40000000000000213</v>
      </c>
      <c r="I25" s="200">
        <f t="shared" si="6"/>
        <v>10.30864197530864</v>
      </c>
      <c r="J25" s="200" t="e">
        <f t="shared" si="7"/>
        <v>#DIV/0!</v>
      </c>
      <c r="K25" s="200" t="e">
        <f t="shared" si="8"/>
        <v>#DIV/0!</v>
      </c>
      <c r="L25" s="178">
        <f t="shared" si="3"/>
        <v>-145.3</v>
      </c>
      <c r="M25" s="178">
        <f t="shared" si="4"/>
        <v>16.7</v>
      </c>
      <c r="N25" s="178">
        <f t="shared" si="5"/>
        <v>16.7</v>
      </c>
    </row>
    <row r="26" spans="1:14" ht="0.75" customHeight="1" hidden="1">
      <c r="A26" s="204">
        <v>24060600</v>
      </c>
      <c r="B26" s="11" t="s">
        <v>29</v>
      </c>
      <c r="C26" s="178"/>
      <c r="D26" s="178"/>
      <c r="E26" s="178"/>
      <c r="F26" s="179">
        <f>E26-'01.06'!E26</f>
        <v>0</v>
      </c>
      <c r="G26" s="178"/>
      <c r="H26" s="179">
        <f>G26-'01.06'!G26</f>
        <v>0</v>
      </c>
      <c r="I26" s="200" t="e">
        <f t="shared" si="6"/>
        <v>#DIV/0!</v>
      </c>
      <c r="J26" s="200" t="e">
        <f t="shared" si="7"/>
        <v>#DIV/0!</v>
      </c>
      <c r="K26" s="200" t="e">
        <f t="shared" si="8"/>
        <v>#DIV/0!</v>
      </c>
      <c r="L26" s="178">
        <f t="shared" si="3"/>
        <v>0</v>
      </c>
      <c r="M26" s="178">
        <f t="shared" si="4"/>
        <v>0</v>
      </c>
      <c r="N26" s="178">
        <f t="shared" si="5"/>
        <v>0</v>
      </c>
    </row>
    <row r="27" spans="1:14" ht="64.5">
      <c r="A27" s="204">
        <v>31010200</v>
      </c>
      <c r="B27" s="11" t="s">
        <v>30</v>
      </c>
      <c r="C27" s="178">
        <v>3.8</v>
      </c>
      <c r="D27" s="178">
        <v>0</v>
      </c>
      <c r="E27" s="178">
        <v>0</v>
      </c>
      <c r="F27" s="179">
        <f>E27-'01.06'!E27</f>
        <v>0</v>
      </c>
      <c r="G27" s="178">
        <v>0.1</v>
      </c>
      <c r="H27" s="179">
        <f>G27-'01.06'!G27</f>
        <v>0</v>
      </c>
      <c r="I27" s="200">
        <f t="shared" si="6"/>
        <v>2.6315789473684212</v>
      </c>
      <c r="J27" s="200" t="e">
        <f t="shared" si="7"/>
        <v>#DIV/0!</v>
      </c>
      <c r="K27" s="200" t="e">
        <f t="shared" si="8"/>
        <v>#DIV/0!</v>
      </c>
      <c r="L27" s="178">
        <f t="shared" si="3"/>
        <v>-3.6999999999999997</v>
      </c>
      <c r="M27" s="178">
        <f t="shared" si="4"/>
        <v>0.1</v>
      </c>
      <c r="N27" s="178">
        <f t="shared" si="5"/>
        <v>0.1</v>
      </c>
    </row>
    <row r="28" spans="1:14" s="102" customFormat="1" ht="30" customHeight="1">
      <c r="A28" s="301" t="s">
        <v>31</v>
      </c>
      <c r="B28" s="301"/>
      <c r="C28" s="180">
        <f aca="true" t="shared" si="9" ref="C28:H28">SUM(C14:C27)-C17</f>
        <v>7437.700000000001</v>
      </c>
      <c r="D28" s="180">
        <f t="shared" si="9"/>
        <v>15202</v>
      </c>
      <c r="E28" s="180">
        <f t="shared" si="9"/>
        <v>7146.099999999999</v>
      </c>
      <c r="F28" s="180">
        <f t="shared" si="9"/>
        <v>962.7000000000002</v>
      </c>
      <c r="G28" s="180">
        <f t="shared" si="9"/>
        <v>7855</v>
      </c>
      <c r="H28" s="180">
        <f t="shared" si="9"/>
        <v>1250.3</v>
      </c>
      <c r="I28" s="201">
        <f t="shared" si="1"/>
        <v>105.6106054290977</v>
      </c>
      <c r="J28" s="201">
        <f t="shared" si="2"/>
        <v>51.670832785159845</v>
      </c>
      <c r="K28" s="201">
        <f aca="true" t="shared" si="10" ref="K28:K55">G28/E28*100</f>
        <v>109.92009627629058</v>
      </c>
      <c r="L28" s="180">
        <f t="shared" si="3"/>
        <v>417.2999999999993</v>
      </c>
      <c r="M28" s="180">
        <f t="shared" si="4"/>
        <v>-7347</v>
      </c>
      <c r="N28" s="180">
        <f t="shared" si="5"/>
        <v>708.9000000000005</v>
      </c>
    </row>
    <row r="29" spans="1:14" ht="25.5" customHeight="1">
      <c r="A29" s="299" t="s">
        <v>35</v>
      </c>
      <c r="B29" s="299"/>
      <c r="C29" s="22">
        <f aca="true" t="shared" si="11" ref="C29:H29">C13+C28</f>
        <v>47262.3</v>
      </c>
      <c r="D29" s="22">
        <f t="shared" si="11"/>
        <v>117320.2</v>
      </c>
      <c r="E29" s="22">
        <f t="shared" si="11"/>
        <v>57582.799999999996</v>
      </c>
      <c r="F29" s="22">
        <f t="shared" si="11"/>
        <v>9258.500000000002</v>
      </c>
      <c r="G29" s="22">
        <f t="shared" si="11"/>
        <v>57866.899999999994</v>
      </c>
      <c r="H29" s="22">
        <f t="shared" si="11"/>
        <v>9282.999999999993</v>
      </c>
      <c r="I29" s="25">
        <f t="shared" si="1"/>
        <v>122.43775694369505</v>
      </c>
      <c r="J29" s="25">
        <f t="shared" si="2"/>
        <v>49.32390159580361</v>
      </c>
      <c r="K29" s="25">
        <f t="shared" si="10"/>
        <v>100.49337649436984</v>
      </c>
      <c r="L29" s="22">
        <f t="shared" si="3"/>
        <v>10604.599999999991</v>
      </c>
      <c r="M29" s="22">
        <f t="shared" si="4"/>
        <v>-59453.3</v>
      </c>
      <c r="N29" s="22">
        <f t="shared" si="5"/>
        <v>284.09999999999854</v>
      </c>
    </row>
    <row r="30" spans="1:14" ht="26.25">
      <c r="A30" s="205">
        <v>40000000</v>
      </c>
      <c r="B30" s="20" t="s">
        <v>32</v>
      </c>
      <c r="C30" s="180">
        <f aca="true" t="shared" si="12" ref="C30:H30">SUM(C31:C32)</f>
        <v>11345.2</v>
      </c>
      <c r="D30" s="180">
        <f t="shared" si="12"/>
        <v>35560.2</v>
      </c>
      <c r="E30" s="180">
        <f t="shared" si="12"/>
        <v>16037.9</v>
      </c>
      <c r="F30" s="180">
        <f t="shared" si="12"/>
        <v>2803.999999999999</v>
      </c>
      <c r="G30" s="180">
        <f t="shared" si="12"/>
        <v>15957.9</v>
      </c>
      <c r="H30" s="180">
        <f t="shared" si="12"/>
        <v>2804.2999999999997</v>
      </c>
      <c r="I30" s="201">
        <f t="shared" si="1"/>
        <v>140.6577230899411</v>
      </c>
      <c r="J30" s="201">
        <f t="shared" si="2"/>
        <v>44.87573185752611</v>
      </c>
      <c r="K30" s="201">
        <f t="shared" si="10"/>
        <v>99.50118157614152</v>
      </c>
      <c r="L30" s="180">
        <f t="shared" si="3"/>
        <v>4612.699999999999</v>
      </c>
      <c r="M30" s="180">
        <f t="shared" si="4"/>
        <v>-19602.299999999996</v>
      </c>
      <c r="N30" s="180">
        <f t="shared" si="5"/>
        <v>-80</v>
      </c>
    </row>
    <row r="31" spans="1:14" ht="15.75">
      <c r="A31" s="206">
        <v>41020000</v>
      </c>
      <c r="B31" s="11" t="s">
        <v>33</v>
      </c>
      <c r="C31" s="178">
        <v>82.2</v>
      </c>
      <c r="D31" s="178">
        <v>7490</v>
      </c>
      <c r="E31" s="178">
        <v>1470.5</v>
      </c>
      <c r="F31" s="179">
        <f>E31-'01.06'!E31</f>
        <v>587.7</v>
      </c>
      <c r="G31" s="178">
        <v>1470.2</v>
      </c>
      <c r="H31" s="179">
        <f>G31-'01.06'!G31</f>
        <v>587.4000000000001</v>
      </c>
      <c r="I31" s="200">
        <f t="shared" si="1"/>
        <v>1788.5644768856448</v>
      </c>
      <c r="J31" s="200">
        <f t="shared" si="2"/>
        <v>19.628838451268358</v>
      </c>
      <c r="K31" s="200">
        <f t="shared" si="10"/>
        <v>99.97959877592656</v>
      </c>
      <c r="L31" s="178">
        <f t="shared" si="3"/>
        <v>1388</v>
      </c>
      <c r="M31" s="178">
        <f t="shared" si="4"/>
        <v>-6019.8</v>
      </c>
      <c r="N31" s="178">
        <f t="shared" si="5"/>
        <v>-0.2999999999999545</v>
      </c>
    </row>
    <row r="32" spans="1:14" ht="15.75">
      <c r="A32" s="206">
        <v>41030000</v>
      </c>
      <c r="B32" s="11" t="s">
        <v>34</v>
      </c>
      <c r="C32" s="178">
        <f>11345.2-C31</f>
        <v>11263</v>
      </c>
      <c r="D32" s="178">
        <v>28070.2</v>
      </c>
      <c r="E32" s="178">
        <f>16037.9-1470.5</f>
        <v>14567.4</v>
      </c>
      <c r="F32" s="179">
        <f>E32-'01.06'!E32</f>
        <v>2216.2999999999993</v>
      </c>
      <c r="G32" s="178">
        <f>15957.9-G31</f>
        <v>14487.699999999999</v>
      </c>
      <c r="H32" s="179">
        <f>G32-'01.06'!G32</f>
        <v>2216.8999999999996</v>
      </c>
      <c r="I32" s="200">
        <f t="shared" si="1"/>
        <v>128.6309153866643</v>
      </c>
      <c r="J32" s="200">
        <f t="shared" si="2"/>
        <v>51.612386089162165</v>
      </c>
      <c r="K32" s="200">
        <f t="shared" si="10"/>
        <v>99.45288795529744</v>
      </c>
      <c r="L32" s="178">
        <f t="shared" si="3"/>
        <v>3224.699999999999</v>
      </c>
      <c r="M32" s="178">
        <f t="shared" si="4"/>
        <v>-13582.500000000002</v>
      </c>
      <c r="N32" s="178">
        <f t="shared" si="5"/>
        <v>-79.70000000000073</v>
      </c>
    </row>
    <row r="33" spans="1:14" ht="40.5" customHeight="1">
      <c r="A33" s="302" t="s">
        <v>50</v>
      </c>
      <c r="B33" s="302"/>
      <c r="C33" s="23">
        <f aca="true" t="shared" si="13" ref="C33:H33">C29+C30</f>
        <v>58607.5</v>
      </c>
      <c r="D33" s="23">
        <f>D29+D30</f>
        <v>152880.4</v>
      </c>
      <c r="E33" s="23">
        <f t="shared" si="13"/>
        <v>73620.7</v>
      </c>
      <c r="F33" s="23">
        <f t="shared" si="13"/>
        <v>12062.5</v>
      </c>
      <c r="G33" s="23">
        <f t="shared" si="13"/>
        <v>73824.79999999999</v>
      </c>
      <c r="H33" s="23">
        <f t="shared" si="13"/>
        <v>12087.299999999992</v>
      </c>
      <c r="I33" s="26">
        <f t="shared" si="1"/>
        <v>125.96476560167211</v>
      </c>
      <c r="J33" s="26">
        <f t="shared" si="2"/>
        <v>48.289250943875075</v>
      </c>
      <c r="K33" s="26">
        <f t="shared" si="10"/>
        <v>100.2772318111618</v>
      </c>
      <c r="L33" s="23">
        <f t="shared" si="3"/>
        <v>15217.299999999988</v>
      </c>
      <c r="M33" s="23">
        <f t="shared" si="4"/>
        <v>-79055.6</v>
      </c>
      <c r="N33" s="23">
        <f t="shared" si="5"/>
        <v>204.09999999999127</v>
      </c>
    </row>
    <row r="34" spans="1:14" ht="24" customHeight="1">
      <c r="A34" s="300" t="s">
        <v>37</v>
      </c>
      <c r="B34" s="300"/>
      <c r="C34" s="300"/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300"/>
    </row>
    <row r="35" spans="1:14" ht="27.75" customHeight="1">
      <c r="A35" s="301" t="s">
        <v>165</v>
      </c>
      <c r="B35" s="301"/>
      <c r="C35" s="180">
        <f aca="true" t="shared" si="14" ref="C35:H35">SUM(C36:C38)</f>
        <v>162.7</v>
      </c>
      <c r="D35" s="180">
        <f t="shared" si="14"/>
        <v>48</v>
      </c>
      <c r="E35" s="180">
        <f t="shared" si="14"/>
        <v>23.7</v>
      </c>
      <c r="F35" s="180">
        <f t="shared" si="14"/>
        <v>4.199999999999999</v>
      </c>
      <c r="G35" s="180">
        <f t="shared" si="14"/>
        <v>86.6</v>
      </c>
      <c r="H35" s="180">
        <f t="shared" si="14"/>
        <v>13.800000000000002</v>
      </c>
      <c r="I35" s="207">
        <f t="shared" si="1"/>
        <v>53.22679778733866</v>
      </c>
      <c r="J35" s="207">
        <f t="shared" si="2"/>
        <v>180.41666666666666</v>
      </c>
      <c r="K35" s="207">
        <f t="shared" si="10"/>
        <v>365.40084388185653</v>
      </c>
      <c r="L35" s="208">
        <f t="shared" si="3"/>
        <v>-76.1</v>
      </c>
      <c r="M35" s="208">
        <f t="shared" si="4"/>
        <v>38.599999999999994</v>
      </c>
      <c r="N35" s="208">
        <f t="shared" si="5"/>
        <v>62.89999999999999</v>
      </c>
    </row>
    <row r="36" spans="1:14" ht="26.25">
      <c r="A36" s="204">
        <v>12020000</v>
      </c>
      <c r="B36" s="11" t="s">
        <v>38</v>
      </c>
      <c r="C36" s="178">
        <v>130.6</v>
      </c>
      <c r="D36" s="178">
        <v>0</v>
      </c>
      <c r="E36" s="178">
        <v>0</v>
      </c>
      <c r="F36" s="179">
        <f>E36-'01.06'!E36</f>
        <v>0</v>
      </c>
      <c r="G36" s="178">
        <v>50.5</v>
      </c>
      <c r="H36" s="179">
        <f>G36-'01.06'!G36</f>
        <v>6</v>
      </c>
      <c r="I36" s="200">
        <f t="shared" si="1"/>
        <v>38.6676875957121</v>
      </c>
      <c r="J36" s="200" t="e">
        <f t="shared" si="2"/>
        <v>#DIV/0!</v>
      </c>
      <c r="K36" s="200" t="e">
        <f t="shared" si="10"/>
        <v>#DIV/0!</v>
      </c>
      <c r="L36" s="178">
        <f t="shared" si="3"/>
        <v>-80.1</v>
      </c>
      <c r="M36" s="178">
        <f t="shared" si="4"/>
        <v>50.5</v>
      </c>
      <c r="N36" s="178">
        <f t="shared" si="5"/>
        <v>50.5</v>
      </c>
    </row>
    <row r="37" spans="1:14" ht="26.25">
      <c r="A37" s="204">
        <v>12030000</v>
      </c>
      <c r="B37" s="11" t="s">
        <v>39</v>
      </c>
      <c r="C37" s="178">
        <v>17.2</v>
      </c>
      <c r="D37" s="178">
        <v>24</v>
      </c>
      <c r="E37" s="178">
        <v>11.6</v>
      </c>
      <c r="F37" s="179">
        <f>E37-'01.06'!E37</f>
        <v>2.1999999999999993</v>
      </c>
      <c r="G37" s="178">
        <v>13.8</v>
      </c>
      <c r="H37" s="179">
        <f>G37-'01.06'!G37</f>
        <v>4.700000000000001</v>
      </c>
      <c r="I37" s="200">
        <f>G37/C37*100</f>
        <v>80.23255813953489</v>
      </c>
      <c r="J37" s="200">
        <f>G37/D37*100</f>
        <v>57.50000000000001</v>
      </c>
      <c r="K37" s="200">
        <f>G37/E37*100</f>
        <v>118.96551724137932</v>
      </c>
      <c r="L37" s="178">
        <f t="shared" si="3"/>
        <v>-3.3999999999999986</v>
      </c>
      <c r="M37" s="178">
        <f t="shared" si="4"/>
        <v>-10.2</v>
      </c>
      <c r="N37" s="178">
        <f t="shared" si="5"/>
        <v>2.200000000000001</v>
      </c>
    </row>
    <row r="38" spans="1:14" ht="79.5" customHeight="1">
      <c r="A38" s="204">
        <v>18041500</v>
      </c>
      <c r="B38" s="11" t="s">
        <v>40</v>
      </c>
      <c r="C38" s="178">
        <v>14.9</v>
      </c>
      <c r="D38" s="178">
        <v>24</v>
      </c>
      <c r="E38" s="178">
        <v>12.1</v>
      </c>
      <c r="F38" s="179">
        <f>E38-'01.06'!E38</f>
        <v>2</v>
      </c>
      <c r="G38" s="178">
        <v>22.3</v>
      </c>
      <c r="H38" s="179">
        <f>G38-'01.06'!G38</f>
        <v>3.1000000000000014</v>
      </c>
      <c r="I38" s="200">
        <f>G38/C38*100</f>
        <v>149.66442953020135</v>
      </c>
      <c r="J38" s="200">
        <f>G38/D38*100</f>
        <v>92.91666666666667</v>
      </c>
      <c r="K38" s="200">
        <f>G38/E38*100</f>
        <v>184.29752066115702</v>
      </c>
      <c r="L38" s="178">
        <f t="shared" si="3"/>
        <v>7.4</v>
      </c>
      <c r="M38" s="178">
        <f t="shared" si="4"/>
        <v>-1.6999999999999993</v>
      </c>
      <c r="N38" s="178">
        <f t="shared" si="5"/>
        <v>10.200000000000001</v>
      </c>
    </row>
    <row r="39" spans="1:14" ht="28.5" customHeight="1">
      <c r="A39" s="301" t="s">
        <v>166</v>
      </c>
      <c r="B39" s="301"/>
      <c r="C39" s="208">
        <f aca="true" t="shared" si="15" ref="C39:H39">SUM(C40:C42)</f>
        <v>51.800000000000004</v>
      </c>
      <c r="D39" s="208">
        <f t="shared" si="15"/>
        <v>200</v>
      </c>
      <c r="E39" s="208">
        <f t="shared" si="15"/>
        <v>100</v>
      </c>
      <c r="F39" s="208">
        <f t="shared" si="15"/>
        <v>0</v>
      </c>
      <c r="G39" s="208">
        <f t="shared" si="15"/>
        <v>91</v>
      </c>
      <c r="H39" s="208">
        <f t="shared" si="15"/>
        <v>-0.1</v>
      </c>
      <c r="I39" s="207">
        <f t="shared" si="1"/>
        <v>175.67567567567565</v>
      </c>
      <c r="J39" s="207">
        <f t="shared" si="2"/>
        <v>45.5</v>
      </c>
      <c r="K39" s="207">
        <f t="shared" si="10"/>
        <v>91</v>
      </c>
      <c r="L39" s="208">
        <f t="shared" si="3"/>
        <v>39.199999999999996</v>
      </c>
      <c r="M39" s="208">
        <f t="shared" si="4"/>
        <v>-109</v>
      </c>
      <c r="N39" s="208">
        <f t="shared" si="5"/>
        <v>-9</v>
      </c>
    </row>
    <row r="40" spans="1:14" ht="15.75">
      <c r="A40" s="204">
        <v>19010000</v>
      </c>
      <c r="B40" s="11" t="s">
        <v>42</v>
      </c>
      <c r="C40" s="178">
        <v>35</v>
      </c>
      <c r="D40" s="178">
        <v>200</v>
      </c>
      <c r="E40" s="178">
        <v>100</v>
      </c>
      <c r="F40" s="179">
        <f>E40-'01.06'!E40</f>
        <v>0</v>
      </c>
      <c r="G40" s="178">
        <v>91</v>
      </c>
      <c r="H40" s="179">
        <f>G40-'01.06'!G40</f>
        <v>0</v>
      </c>
      <c r="I40" s="200">
        <f t="shared" si="1"/>
        <v>260</v>
      </c>
      <c r="J40" s="200">
        <f t="shared" si="2"/>
        <v>45.5</v>
      </c>
      <c r="K40" s="200">
        <f t="shared" si="10"/>
        <v>91</v>
      </c>
      <c r="L40" s="178">
        <f t="shared" si="3"/>
        <v>56</v>
      </c>
      <c r="M40" s="178">
        <f t="shared" si="4"/>
        <v>-109</v>
      </c>
      <c r="N40" s="178">
        <f t="shared" si="5"/>
        <v>-9</v>
      </c>
    </row>
    <row r="41" spans="1:14" ht="26.25">
      <c r="A41" s="204">
        <v>19050000</v>
      </c>
      <c r="B41" s="11" t="s">
        <v>43</v>
      </c>
      <c r="C41" s="178">
        <v>16.7</v>
      </c>
      <c r="D41" s="178">
        <v>0</v>
      </c>
      <c r="E41" s="178">
        <v>0</v>
      </c>
      <c r="F41" s="179">
        <f>E41-'01.06'!E41</f>
        <v>0</v>
      </c>
      <c r="G41" s="178">
        <v>0</v>
      </c>
      <c r="H41" s="179">
        <f>G41-'01.06'!G41</f>
        <v>-0.1</v>
      </c>
      <c r="I41" s="200">
        <f t="shared" si="1"/>
        <v>0</v>
      </c>
      <c r="J41" s="200" t="e">
        <f t="shared" si="2"/>
        <v>#DIV/0!</v>
      </c>
      <c r="K41" s="200" t="e">
        <f t="shared" si="10"/>
        <v>#DIV/0!</v>
      </c>
      <c r="L41" s="178">
        <f t="shared" si="3"/>
        <v>-16.7</v>
      </c>
      <c r="M41" s="178">
        <f t="shared" si="4"/>
        <v>0</v>
      </c>
      <c r="N41" s="178">
        <f t="shared" si="5"/>
        <v>0</v>
      </c>
    </row>
    <row r="42" spans="1:14" ht="64.5">
      <c r="A42" s="204">
        <v>24062100</v>
      </c>
      <c r="B42" s="11" t="s">
        <v>56</v>
      </c>
      <c r="C42" s="178">
        <v>0.1</v>
      </c>
      <c r="D42" s="178">
        <v>0</v>
      </c>
      <c r="E42" s="178">
        <v>0</v>
      </c>
      <c r="F42" s="179">
        <f>E42-'01.06'!E42</f>
        <v>0</v>
      </c>
      <c r="G42" s="178">
        <v>0</v>
      </c>
      <c r="H42" s="179">
        <f>G42-'01.06'!G42</f>
        <v>0</v>
      </c>
      <c r="I42" s="200">
        <f t="shared" si="1"/>
        <v>0</v>
      </c>
      <c r="J42" s="200" t="e">
        <f t="shared" si="2"/>
        <v>#DIV/0!</v>
      </c>
      <c r="K42" s="200" t="e">
        <f t="shared" si="10"/>
        <v>#DIV/0!</v>
      </c>
      <c r="L42" s="178">
        <f t="shared" si="3"/>
        <v>-0.1</v>
      </c>
      <c r="M42" s="178">
        <f t="shared" si="4"/>
        <v>0</v>
      </c>
      <c r="N42" s="178">
        <f t="shared" si="5"/>
        <v>0</v>
      </c>
    </row>
    <row r="43" spans="1:14" ht="33" customHeight="1">
      <c r="A43" s="301" t="s">
        <v>167</v>
      </c>
      <c r="B43" s="301"/>
      <c r="C43" s="208">
        <f aca="true" t="shared" si="16" ref="C43:H43">SUM(C44:C46)</f>
        <v>991</v>
      </c>
      <c r="D43" s="208">
        <f t="shared" si="16"/>
        <v>1800</v>
      </c>
      <c r="E43" s="208">
        <f t="shared" si="16"/>
        <v>895.9</v>
      </c>
      <c r="F43" s="208">
        <f t="shared" si="16"/>
        <v>154</v>
      </c>
      <c r="G43" s="208">
        <f t="shared" si="16"/>
        <v>1366.8</v>
      </c>
      <c r="H43" s="208">
        <f t="shared" si="16"/>
        <v>198.10000000000014</v>
      </c>
      <c r="I43" s="207">
        <f t="shared" si="1"/>
        <v>137.9212916246216</v>
      </c>
      <c r="J43" s="207">
        <f t="shared" si="2"/>
        <v>75.93333333333334</v>
      </c>
      <c r="K43" s="207">
        <f t="shared" si="10"/>
        <v>152.561669829222</v>
      </c>
      <c r="L43" s="208">
        <f t="shared" si="3"/>
        <v>375.79999999999995</v>
      </c>
      <c r="M43" s="208">
        <f t="shared" si="4"/>
        <v>-433.20000000000005</v>
      </c>
      <c r="N43" s="208">
        <f t="shared" si="5"/>
        <v>470.9</v>
      </c>
    </row>
    <row r="44" spans="1:14" ht="22.5" customHeight="1">
      <c r="A44" s="204">
        <v>18050000</v>
      </c>
      <c r="B44" s="11" t="s">
        <v>44</v>
      </c>
      <c r="C44" s="178">
        <v>952.5</v>
      </c>
      <c r="D44" s="178">
        <v>1800</v>
      </c>
      <c r="E44" s="178">
        <v>895.9</v>
      </c>
      <c r="F44" s="179">
        <f>E44-'01.06'!E44</f>
        <v>154</v>
      </c>
      <c r="G44" s="178">
        <v>1366.7</v>
      </c>
      <c r="H44" s="179">
        <f>G44-'01.06'!G44</f>
        <v>198.10000000000014</v>
      </c>
      <c r="I44" s="209">
        <f t="shared" si="1"/>
        <v>143.48556430446195</v>
      </c>
      <c r="J44" s="209">
        <f t="shared" si="2"/>
        <v>75.92777777777778</v>
      </c>
      <c r="K44" s="209">
        <f t="shared" si="10"/>
        <v>152.55050786918184</v>
      </c>
      <c r="L44" s="210">
        <f t="shared" si="3"/>
        <v>414.20000000000005</v>
      </c>
      <c r="M44" s="210">
        <f t="shared" si="4"/>
        <v>-433.29999999999995</v>
      </c>
      <c r="N44" s="210">
        <f t="shared" si="5"/>
        <v>470.80000000000007</v>
      </c>
    </row>
    <row r="45" spans="1:14" ht="39">
      <c r="A45" s="206">
        <v>31030000</v>
      </c>
      <c r="B45" s="11" t="s">
        <v>45</v>
      </c>
      <c r="C45" s="178">
        <v>0</v>
      </c>
      <c r="D45" s="178">
        <v>0</v>
      </c>
      <c r="E45" s="178">
        <v>0</v>
      </c>
      <c r="F45" s="179">
        <f>E45-'01.06'!E45</f>
        <v>0</v>
      </c>
      <c r="G45" s="178">
        <v>0.1</v>
      </c>
      <c r="H45" s="179">
        <f>G45-'01.06'!G45</f>
        <v>0</v>
      </c>
      <c r="I45" s="209" t="e">
        <f t="shared" si="1"/>
        <v>#DIV/0!</v>
      </c>
      <c r="J45" s="209" t="e">
        <f t="shared" si="2"/>
        <v>#DIV/0!</v>
      </c>
      <c r="K45" s="209" t="e">
        <f t="shared" si="10"/>
        <v>#DIV/0!</v>
      </c>
      <c r="L45" s="210">
        <f t="shared" si="3"/>
        <v>0.1</v>
      </c>
      <c r="M45" s="210">
        <f t="shared" si="4"/>
        <v>0.1</v>
      </c>
      <c r="N45" s="210">
        <f t="shared" si="5"/>
        <v>0.1</v>
      </c>
    </row>
    <row r="46" spans="1:14" ht="15.75">
      <c r="A46" s="206">
        <v>33010000</v>
      </c>
      <c r="B46" s="11" t="s">
        <v>46</v>
      </c>
      <c r="C46" s="178">
        <v>38.5</v>
      </c>
      <c r="D46" s="178"/>
      <c r="E46" s="178"/>
      <c r="F46" s="179"/>
      <c r="G46" s="178"/>
      <c r="H46" s="179"/>
      <c r="I46" s="209">
        <f t="shared" si="1"/>
        <v>0</v>
      </c>
      <c r="J46" s="209" t="e">
        <f t="shared" si="2"/>
        <v>#DIV/0!</v>
      </c>
      <c r="K46" s="209" t="e">
        <f t="shared" si="10"/>
        <v>#DIV/0!</v>
      </c>
      <c r="L46" s="210">
        <f t="shared" si="3"/>
        <v>-38.5</v>
      </c>
      <c r="M46" s="210">
        <f t="shared" si="4"/>
        <v>0</v>
      </c>
      <c r="N46" s="210">
        <f t="shared" si="5"/>
        <v>0</v>
      </c>
    </row>
    <row r="47" spans="1:14" ht="17.25" customHeight="1">
      <c r="A47" s="297" t="s">
        <v>47</v>
      </c>
      <c r="B47" s="297"/>
      <c r="C47" s="208">
        <v>33.5</v>
      </c>
      <c r="D47" s="208">
        <v>282</v>
      </c>
      <c r="E47" s="208">
        <v>0</v>
      </c>
      <c r="F47" s="208">
        <f>E47-'01.06'!E47</f>
        <v>0</v>
      </c>
      <c r="G47" s="208">
        <v>372.8</v>
      </c>
      <c r="H47" s="208">
        <f>G47-'01.06'!G47</f>
        <v>2.900000000000034</v>
      </c>
      <c r="I47" s="207">
        <f>G47/C47*100</f>
        <v>1112.8358208955226</v>
      </c>
      <c r="J47" s="207">
        <f>G47/D47*100</f>
        <v>132.1985815602837</v>
      </c>
      <c r="K47" s="207" t="e">
        <f>G47/E47*100</f>
        <v>#DIV/0!</v>
      </c>
      <c r="L47" s="208">
        <f t="shared" si="3"/>
        <v>339.3</v>
      </c>
      <c r="M47" s="208">
        <f t="shared" si="4"/>
        <v>90.80000000000001</v>
      </c>
      <c r="N47" s="208">
        <f t="shared" si="5"/>
        <v>372.8</v>
      </c>
    </row>
    <row r="48" spans="1:14" ht="22.5" customHeight="1">
      <c r="A48" s="211" t="s">
        <v>51</v>
      </c>
      <c r="B48" s="21"/>
      <c r="C48" s="208">
        <v>1908.9</v>
      </c>
      <c r="D48" s="208">
        <v>3810.1</v>
      </c>
      <c r="E48" s="208">
        <f>D48/12*6</f>
        <v>1905.05</v>
      </c>
      <c r="F48" s="208">
        <f>E48-'01.06'!E48</f>
        <v>293.95000000000005</v>
      </c>
      <c r="G48" s="208">
        <f>1815.1+332.1</f>
        <v>2147.2</v>
      </c>
      <c r="H48" s="208">
        <f>G48-'01.06'!G48</f>
        <v>193.99999999999977</v>
      </c>
      <c r="I48" s="207">
        <f>G48/C48*100</f>
        <v>112.48362931531246</v>
      </c>
      <c r="J48" s="207">
        <f>G48/D48*100</f>
        <v>56.35547623421957</v>
      </c>
      <c r="K48" s="207">
        <f>G48/E48*100</f>
        <v>112.71095246843915</v>
      </c>
      <c r="L48" s="208">
        <f>G48-C48</f>
        <v>238.29999999999973</v>
      </c>
      <c r="M48" s="208">
        <f>G48-D48</f>
        <v>-1662.9</v>
      </c>
      <c r="N48" s="208">
        <f>G48-E48</f>
        <v>242.14999999999986</v>
      </c>
    </row>
    <row r="49" spans="1:14" ht="24.75" customHeight="1">
      <c r="A49" s="19" t="s">
        <v>48</v>
      </c>
      <c r="B49" s="217"/>
      <c r="C49" s="22">
        <f aca="true" t="shared" si="17" ref="C49:H49">C35+C39+C43+C47+C48</f>
        <v>3147.9</v>
      </c>
      <c r="D49" s="22">
        <f t="shared" si="17"/>
        <v>6140.1</v>
      </c>
      <c r="E49" s="22">
        <f t="shared" si="17"/>
        <v>2924.65</v>
      </c>
      <c r="F49" s="22">
        <f t="shared" si="17"/>
        <v>452.15000000000003</v>
      </c>
      <c r="G49" s="22">
        <f t="shared" si="17"/>
        <v>4064.3999999999996</v>
      </c>
      <c r="H49" s="22">
        <f t="shared" si="17"/>
        <v>408.69999999999993</v>
      </c>
      <c r="I49" s="25">
        <f>G49/C49*100</f>
        <v>129.11464786047839</v>
      </c>
      <c r="J49" s="25">
        <f>G49/D49*100</f>
        <v>66.19436165534762</v>
      </c>
      <c r="K49" s="25">
        <f>G49/E49*100</f>
        <v>138.97047509958455</v>
      </c>
      <c r="L49" s="22">
        <f>G49-C49</f>
        <v>916.4999999999995</v>
      </c>
      <c r="M49" s="22">
        <f>G49-D49</f>
        <v>-2075.7000000000007</v>
      </c>
      <c r="N49" s="22">
        <f>G49-E49</f>
        <v>1139.7499999999995</v>
      </c>
    </row>
    <row r="50" spans="1:14" ht="28.5" customHeight="1">
      <c r="A50" s="205">
        <v>40000000</v>
      </c>
      <c r="B50" s="20" t="s">
        <v>32</v>
      </c>
      <c r="C50" s="180">
        <f aca="true" t="shared" si="18" ref="C50:H50">SUM(C51:C53)</f>
        <v>2015.3</v>
      </c>
      <c r="D50" s="180">
        <f t="shared" si="18"/>
        <v>6271.2</v>
      </c>
      <c r="E50" s="180">
        <f t="shared" si="18"/>
        <v>3065.3</v>
      </c>
      <c r="F50" s="180">
        <f t="shared" si="18"/>
        <v>460.2000000000001</v>
      </c>
      <c r="G50" s="180">
        <f t="shared" si="18"/>
        <v>3065.3</v>
      </c>
      <c r="H50" s="180">
        <f t="shared" si="18"/>
        <v>460.2000000000001</v>
      </c>
      <c r="I50" s="201">
        <f t="shared" si="1"/>
        <v>152.10142410559223</v>
      </c>
      <c r="J50" s="201">
        <f t="shared" si="2"/>
        <v>48.879002423778545</v>
      </c>
      <c r="K50" s="201">
        <f t="shared" si="10"/>
        <v>100</v>
      </c>
      <c r="L50" s="180">
        <f t="shared" si="3"/>
        <v>1050.0000000000002</v>
      </c>
      <c r="M50" s="180">
        <f t="shared" si="4"/>
        <v>-3205.8999999999996</v>
      </c>
      <c r="N50" s="180">
        <f t="shared" si="5"/>
        <v>0</v>
      </c>
    </row>
    <row r="51" spans="1:14" ht="67.5" customHeight="1">
      <c r="A51" s="206">
        <v>41034401</v>
      </c>
      <c r="B51" s="11" t="s">
        <v>161</v>
      </c>
      <c r="C51" s="210">
        <v>0</v>
      </c>
      <c r="D51" s="210">
        <v>1136.1</v>
      </c>
      <c r="E51" s="210">
        <v>517.2</v>
      </c>
      <c r="F51" s="179">
        <f>E51-'01.06'!E51</f>
        <v>83.40000000000003</v>
      </c>
      <c r="G51" s="210">
        <v>517.2</v>
      </c>
      <c r="H51" s="179">
        <f>G51-'01.06'!G51</f>
        <v>83.40000000000003</v>
      </c>
      <c r="I51" s="209" t="e">
        <f t="shared" si="1"/>
        <v>#DIV/0!</v>
      </c>
      <c r="J51" s="209">
        <f t="shared" si="2"/>
        <v>45.52416160549248</v>
      </c>
      <c r="K51" s="209">
        <f t="shared" si="10"/>
        <v>100</v>
      </c>
      <c r="L51" s="210">
        <f t="shared" si="3"/>
        <v>517.2</v>
      </c>
      <c r="M51" s="210">
        <f t="shared" si="4"/>
        <v>-618.8999999999999</v>
      </c>
      <c r="N51" s="210">
        <f t="shared" si="5"/>
        <v>0</v>
      </c>
    </row>
    <row r="52" spans="1:14" ht="21.75" customHeight="1">
      <c r="A52" s="206">
        <v>41035001</v>
      </c>
      <c r="B52" s="11" t="s">
        <v>163</v>
      </c>
      <c r="C52" s="210">
        <v>0</v>
      </c>
      <c r="D52" s="210">
        <v>505.3</v>
      </c>
      <c r="E52" s="210">
        <v>226.2</v>
      </c>
      <c r="F52" s="179">
        <f>E52-'01.06'!E52</f>
        <v>38.39999999999998</v>
      </c>
      <c r="G52" s="210">
        <v>226.2</v>
      </c>
      <c r="H52" s="179">
        <f>G52-'01.06'!G52</f>
        <v>38.39999999999998</v>
      </c>
      <c r="I52" s="209" t="e">
        <f>G52/C52*100</f>
        <v>#DIV/0!</v>
      </c>
      <c r="J52" s="209">
        <f>G52/D52*100</f>
        <v>44.7654858499901</v>
      </c>
      <c r="K52" s="209">
        <f>G52/E52*100</f>
        <v>100</v>
      </c>
      <c r="L52" s="210">
        <f>G52-C52</f>
        <v>226.2</v>
      </c>
      <c r="M52" s="210">
        <f>G52-D52</f>
        <v>-279.1</v>
      </c>
      <c r="N52" s="210">
        <f>G52-E52</f>
        <v>0</v>
      </c>
    </row>
    <row r="53" spans="1:14" ht="87.75" customHeight="1">
      <c r="A53" s="206">
        <v>41035101</v>
      </c>
      <c r="B53" s="11" t="s">
        <v>49</v>
      </c>
      <c r="C53" s="210">
        <v>2015.3</v>
      </c>
      <c r="D53" s="210">
        <v>4629.8</v>
      </c>
      <c r="E53" s="210">
        <v>2321.9</v>
      </c>
      <c r="F53" s="179">
        <f>E53-'01.06'!E53</f>
        <v>338.4000000000001</v>
      </c>
      <c r="G53" s="210">
        <v>2321.9</v>
      </c>
      <c r="H53" s="179">
        <f>G53-'01.06'!G53</f>
        <v>338.4000000000001</v>
      </c>
      <c r="I53" s="209">
        <f>G53/C53*100</f>
        <v>115.21361583883294</v>
      </c>
      <c r="J53" s="209">
        <f>G53/D53*100</f>
        <v>50.151194436044754</v>
      </c>
      <c r="K53" s="209">
        <f>G53/E53*100</f>
        <v>100</v>
      </c>
      <c r="L53" s="210">
        <f>G53-C53</f>
        <v>306.60000000000014</v>
      </c>
      <c r="M53" s="210">
        <f>G53-D53</f>
        <v>-2307.9</v>
      </c>
      <c r="N53" s="210">
        <f>G53-E53</f>
        <v>0</v>
      </c>
    </row>
    <row r="54" spans="1:14" ht="39.75" customHeight="1">
      <c r="A54" s="298" t="s">
        <v>52</v>
      </c>
      <c r="B54" s="298"/>
      <c r="C54" s="212">
        <f aca="true" t="shared" si="19" ref="C54:H54">C49+C50</f>
        <v>5163.2</v>
      </c>
      <c r="D54" s="212">
        <f t="shared" si="19"/>
        <v>12411.3</v>
      </c>
      <c r="E54" s="212">
        <f t="shared" si="19"/>
        <v>5989.950000000001</v>
      </c>
      <c r="F54" s="212">
        <f t="shared" si="19"/>
        <v>912.3500000000001</v>
      </c>
      <c r="G54" s="212">
        <f t="shared" si="19"/>
        <v>7129.7</v>
      </c>
      <c r="H54" s="212">
        <f t="shared" si="19"/>
        <v>868.9000000000001</v>
      </c>
      <c r="I54" s="213">
        <f t="shared" si="1"/>
        <v>138.08684536721415</v>
      </c>
      <c r="J54" s="213">
        <f t="shared" si="2"/>
        <v>57.445231361742934</v>
      </c>
      <c r="K54" s="213">
        <f t="shared" si="10"/>
        <v>119.02770473877075</v>
      </c>
      <c r="L54" s="212">
        <f t="shared" si="3"/>
        <v>1966.5</v>
      </c>
      <c r="M54" s="212">
        <f t="shared" si="4"/>
        <v>-5281.599999999999</v>
      </c>
      <c r="N54" s="212">
        <f t="shared" si="5"/>
        <v>1139.749999999999</v>
      </c>
    </row>
    <row r="55" spans="1:14" ht="40.5" customHeight="1">
      <c r="A55" s="311" t="s">
        <v>53</v>
      </c>
      <c r="B55" s="311"/>
      <c r="C55" s="214">
        <f aca="true" t="shared" si="20" ref="C55:H55">C33+C54</f>
        <v>63770.7</v>
      </c>
      <c r="D55" s="214">
        <f t="shared" si="20"/>
        <v>165291.69999999998</v>
      </c>
      <c r="E55" s="214">
        <f t="shared" si="20"/>
        <v>79610.65</v>
      </c>
      <c r="F55" s="214">
        <f t="shared" si="20"/>
        <v>12974.85</v>
      </c>
      <c r="G55" s="214">
        <f t="shared" si="20"/>
        <v>80954.49999999999</v>
      </c>
      <c r="H55" s="214">
        <f t="shared" si="20"/>
        <v>12956.199999999992</v>
      </c>
      <c r="I55" s="215">
        <f t="shared" si="1"/>
        <v>126.94623079251129</v>
      </c>
      <c r="J55" s="215">
        <f t="shared" si="2"/>
        <v>48.97674837877521</v>
      </c>
      <c r="K55" s="215">
        <f t="shared" si="10"/>
        <v>101.68802792088746</v>
      </c>
      <c r="L55" s="214">
        <f t="shared" si="3"/>
        <v>17183.79999999999</v>
      </c>
      <c r="M55" s="214">
        <f t="shared" si="4"/>
        <v>-84337.2</v>
      </c>
      <c r="N55" s="214">
        <f t="shared" si="5"/>
        <v>1343.8499999999913</v>
      </c>
    </row>
    <row r="56" spans="2:8" ht="12.75">
      <c r="B56" s="6"/>
      <c r="C56" s="24"/>
      <c r="D56" s="24"/>
      <c r="E56" s="24"/>
      <c r="F56" s="24"/>
      <c r="G56" s="24"/>
      <c r="H56" s="24"/>
    </row>
  </sheetData>
  <mergeCells count="31">
    <mergeCell ref="A35:B35"/>
    <mergeCell ref="G5:H5"/>
    <mergeCell ref="C5:C7"/>
    <mergeCell ref="D5:F5"/>
    <mergeCell ref="E6:F6"/>
    <mergeCell ref="G6:G7"/>
    <mergeCell ref="H6:H7"/>
    <mergeCell ref="L5:N5"/>
    <mergeCell ref="L6:L7"/>
    <mergeCell ref="M6:M7"/>
    <mergeCell ref="N6:N7"/>
    <mergeCell ref="A54:B54"/>
    <mergeCell ref="A33:B33"/>
    <mergeCell ref="A34:N34"/>
    <mergeCell ref="A9:N9"/>
    <mergeCell ref="A13:B13"/>
    <mergeCell ref="A28:B28"/>
    <mergeCell ref="A29:B29"/>
    <mergeCell ref="A39:B39"/>
    <mergeCell ref="A43:B43"/>
    <mergeCell ref="A47:B47"/>
    <mergeCell ref="A55:B55"/>
    <mergeCell ref="L1:N1"/>
    <mergeCell ref="A3:N3"/>
    <mergeCell ref="I6:I7"/>
    <mergeCell ref="J6:J7"/>
    <mergeCell ref="B5:B7"/>
    <mergeCell ref="A5:A7"/>
    <mergeCell ref="I5:K5"/>
    <mergeCell ref="K6:K7"/>
    <mergeCell ref="D6:D7"/>
  </mergeCells>
  <printOptions horizontalCentered="1"/>
  <pageMargins left="0.7874015748031497" right="0.3937007874015748" top="0.984251968503937" bottom="0.984251968503937" header="0.5118110236220472" footer="0.5118110236220472"/>
  <pageSetup horizontalDpi="600" verticalDpi="600" orientation="portrait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6"/>
  <sheetViews>
    <sheetView view="pageBreakPreview" zoomScaleSheetLayoutView="100" workbookViewId="0" topLeftCell="A43">
      <selection activeCell="E71" sqref="E71"/>
    </sheetView>
  </sheetViews>
  <sheetFormatPr defaultColWidth="9.00390625" defaultRowHeight="12.75"/>
  <cols>
    <col min="1" max="1" width="12.75390625" style="5" customWidth="1"/>
    <col min="2" max="2" width="33.125" style="5" customWidth="1"/>
    <col min="3" max="3" width="13.375" style="0" customWidth="1"/>
    <col min="4" max="4" width="14.125" style="0" customWidth="1"/>
    <col min="5" max="5" width="12.375" style="0" customWidth="1"/>
    <col min="6" max="6" width="12.625" style="0" customWidth="1"/>
    <col min="7" max="7" width="14.00390625" style="0" customWidth="1"/>
    <col min="8" max="8" width="12.375" style="0" customWidth="1"/>
    <col min="9" max="9" width="12.25390625" style="13" customWidth="1"/>
    <col min="10" max="10" width="13.125" style="13" customWidth="1"/>
    <col min="11" max="11" width="12.625" style="13" customWidth="1"/>
    <col min="12" max="12" width="13.75390625" style="0" customWidth="1"/>
    <col min="13" max="13" width="14.375" style="0" customWidth="1"/>
    <col min="14" max="14" width="12.75390625" style="0" customWidth="1"/>
  </cols>
  <sheetData>
    <row r="1" spans="12:14" ht="15">
      <c r="L1" s="312" t="s">
        <v>54</v>
      </c>
      <c r="M1" s="312"/>
      <c r="N1" s="312"/>
    </row>
    <row r="3" spans="1:14" ht="22.5">
      <c r="A3" s="313" t="s">
        <v>187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</row>
    <row r="5" spans="1:14" ht="15" customHeight="1">
      <c r="A5" s="318" t="s">
        <v>5</v>
      </c>
      <c r="B5" s="315" t="s">
        <v>7</v>
      </c>
      <c r="C5" s="289" t="s">
        <v>189</v>
      </c>
      <c r="D5" s="272" t="s">
        <v>3</v>
      </c>
      <c r="E5" s="266"/>
      <c r="F5" s="267"/>
      <c r="G5" s="283" t="s">
        <v>2</v>
      </c>
      <c r="H5" s="284"/>
      <c r="I5" s="314" t="s">
        <v>0</v>
      </c>
      <c r="J5" s="314"/>
      <c r="K5" s="314"/>
      <c r="L5" s="306" t="s">
        <v>1</v>
      </c>
      <c r="M5" s="306"/>
      <c r="N5" s="307"/>
    </row>
    <row r="6" spans="1:14" ht="15" customHeight="1">
      <c r="A6" s="319"/>
      <c r="B6" s="316"/>
      <c r="C6" s="308"/>
      <c r="D6" s="289" t="s">
        <v>156</v>
      </c>
      <c r="E6" s="309" t="s">
        <v>6</v>
      </c>
      <c r="F6" s="310"/>
      <c r="G6" s="283" t="s">
        <v>158</v>
      </c>
      <c r="H6" s="304" t="s">
        <v>188</v>
      </c>
      <c r="I6" s="314" t="s">
        <v>4</v>
      </c>
      <c r="J6" s="314" t="s">
        <v>148</v>
      </c>
      <c r="K6" s="314" t="s">
        <v>153</v>
      </c>
      <c r="L6" s="314" t="s">
        <v>4</v>
      </c>
      <c r="M6" s="314" t="s">
        <v>148</v>
      </c>
      <c r="N6" s="314" t="s">
        <v>153</v>
      </c>
    </row>
    <row r="7" spans="1:14" ht="57" customHeight="1">
      <c r="A7" s="320"/>
      <c r="B7" s="317"/>
      <c r="C7" s="264"/>
      <c r="D7" s="264"/>
      <c r="E7" s="4" t="s">
        <v>157</v>
      </c>
      <c r="F7" s="12" t="s">
        <v>188</v>
      </c>
      <c r="G7" s="285"/>
      <c r="H7" s="305"/>
      <c r="I7" s="314"/>
      <c r="J7" s="314"/>
      <c r="K7" s="314"/>
      <c r="L7" s="314"/>
      <c r="M7" s="314"/>
      <c r="N7" s="314"/>
    </row>
    <row r="8" spans="1:14" s="220" customFormat="1" ht="12.75">
      <c r="A8" s="216">
        <v>1</v>
      </c>
      <c r="B8" s="28">
        <v>2</v>
      </c>
      <c r="C8" s="218">
        <v>3</v>
      </c>
      <c r="D8" s="218">
        <v>4</v>
      </c>
      <c r="E8" s="219">
        <v>5</v>
      </c>
      <c r="F8" s="219">
        <v>6</v>
      </c>
      <c r="G8" s="218">
        <v>7</v>
      </c>
      <c r="H8" s="218">
        <v>8</v>
      </c>
      <c r="I8" s="218">
        <v>9</v>
      </c>
      <c r="J8" s="218">
        <v>10</v>
      </c>
      <c r="K8" s="218">
        <v>11</v>
      </c>
      <c r="L8" s="218">
        <v>12</v>
      </c>
      <c r="M8" s="218">
        <v>13</v>
      </c>
      <c r="N8" s="218">
        <v>14</v>
      </c>
    </row>
    <row r="9" spans="1:14" ht="24" customHeight="1">
      <c r="A9" s="303" t="s">
        <v>36</v>
      </c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</row>
    <row r="10" spans="1:14" ht="54" customHeight="1">
      <c r="A10" s="199">
        <v>11010000</v>
      </c>
      <c r="B10" s="11" t="s">
        <v>13</v>
      </c>
      <c r="C10" s="178">
        <v>46473.7</v>
      </c>
      <c r="D10" s="177">
        <v>102041.7</v>
      </c>
      <c r="E10" s="178">
        <v>59439.3</v>
      </c>
      <c r="F10" s="179">
        <f>E10-'01.07'!E10</f>
        <v>9040.900000000001</v>
      </c>
      <c r="G10" s="178">
        <v>58299.6</v>
      </c>
      <c r="H10" s="179">
        <f>G10-'01.07'!G10</f>
        <v>8332.900000000001</v>
      </c>
      <c r="I10" s="200">
        <f>G10/C10*100</f>
        <v>125.44643529566186</v>
      </c>
      <c r="J10" s="200">
        <f>G10/D10*100</f>
        <v>57.13311322723945</v>
      </c>
      <c r="K10" s="200">
        <f>G10/E10*100</f>
        <v>98.08258172623164</v>
      </c>
      <c r="L10" s="178">
        <f>G10-C10</f>
        <v>11825.900000000001</v>
      </c>
      <c r="M10" s="178">
        <f>G10-D10</f>
        <v>-43742.1</v>
      </c>
      <c r="N10" s="178">
        <f>G10-E10</f>
        <v>-1139.7000000000044</v>
      </c>
    </row>
    <row r="11" spans="1:14" ht="39">
      <c r="A11" s="199">
        <v>22010300</v>
      </c>
      <c r="B11" s="11" t="s">
        <v>10</v>
      </c>
      <c r="C11" s="178">
        <v>10</v>
      </c>
      <c r="D11" s="177">
        <v>16.5</v>
      </c>
      <c r="E11" s="178">
        <v>8.5</v>
      </c>
      <c r="F11" s="179">
        <f>E11-'01.07'!E11</f>
        <v>1.4000000000000004</v>
      </c>
      <c r="G11" s="178">
        <v>8.5</v>
      </c>
      <c r="H11" s="179">
        <f>G11-'01.07'!G11</f>
        <v>1</v>
      </c>
      <c r="I11" s="200">
        <f>G11/C11*100</f>
        <v>85</v>
      </c>
      <c r="J11" s="200">
        <f>G11/D11*100</f>
        <v>51.515151515151516</v>
      </c>
      <c r="K11" s="200">
        <f>G11/E11*100</f>
        <v>100</v>
      </c>
      <c r="L11" s="178">
        <f>G11-C11</f>
        <v>-1.5</v>
      </c>
      <c r="M11" s="178">
        <f>G11-D11</f>
        <v>-8</v>
      </c>
      <c r="N11" s="178">
        <f>G11-E11</f>
        <v>0</v>
      </c>
    </row>
    <row r="12" spans="1:14" ht="18.75" customHeight="1">
      <c r="A12" s="199">
        <v>22090000</v>
      </c>
      <c r="B12" s="11" t="s">
        <v>11</v>
      </c>
      <c r="C12" s="178">
        <v>32.3</v>
      </c>
      <c r="D12" s="177">
        <v>60</v>
      </c>
      <c r="E12" s="178">
        <v>33.5</v>
      </c>
      <c r="F12" s="179">
        <f>E12-'01.07'!E12</f>
        <v>2.3000000000000007</v>
      </c>
      <c r="G12" s="178">
        <v>44.2</v>
      </c>
      <c r="H12" s="179">
        <f>G12-'01.07'!G12</f>
        <v>6.5</v>
      </c>
      <c r="I12" s="200">
        <f>G12/C12*100</f>
        <v>136.84210526315792</v>
      </c>
      <c r="J12" s="200">
        <f>G12/D12*100</f>
        <v>73.66666666666667</v>
      </c>
      <c r="K12" s="200">
        <f>G12/E12*100</f>
        <v>131.9402985074627</v>
      </c>
      <c r="L12" s="178">
        <f>G12-C12</f>
        <v>11.900000000000006</v>
      </c>
      <c r="M12" s="178">
        <f>G12-D12</f>
        <v>-15.799999999999997</v>
      </c>
      <c r="N12" s="178">
        <f>G12-E12</f>
        <v>10.700000000000003</v>
      </c>
    </row>
    <row r="13" spans="1:14" ht="30" customHeight="1">
      <c r="A13" s="301" t="s">
        <v>12</v>
      </c>
      <c r="B13" s="301"/>
      <c r="C13" s="180">
        <f aca="true" t="shared" si="0" ref="C13:H13">SUM(C10:C12)</f>
        <v>46516</v>
      </c>
      <c r="D13" s="180">
        <f t="shared" si="0"/>
        <v>102118.2</v>
      </c>
      <c r="E13" s="180">
        <f t="shared" si="0"/>
        <v>59481.3</v>
      </c>
      <c r="F13" s="180">
        <f t="shared" si="0"/>
        <v>9044.6</v>
      </c>
      <c r="G13" s="180">
        <f t="shared" si="0"/>
        <v>58352.299999999996</v>
      </c>
      <c r="H13" s="180">
        <f t="shared" si="0"/>
        <v>8340.400000000001</v>
      </c>
      <c r="I13" s="201">
        <f>G13/C13*100</f>
        <v>125.44565310860779</v>
      </c>
      <c r="J13" s="201">
        <f>G13/D13*100</f>
        <v>57.14191985365977</v>
      </c>
      <c r="K13" s="201">
        <f>G13/E13*100</f>
        <v>98.10192447037976</v>
      </c>
      <c r="L13" s="180">
        <f>G13-C13</f>
        <v>11836.299999999996</v>
      </c>
      <c r="M13" s="180">
        <f>G13-D13</f>
        <v>-43765.9</v>
      </c>
      <c r="N13" s="180">
        <f>G13-E13</f>
        <v>-1129.0000000000073</v>
      </c>
    </row>
    <row r="14" spans="1:14" ht="39">
      <c r="A14" s="202">
        <v>11010600</v>
      </c>
      <c r="B14" s="11" t="s">
        <v>14</v>
      </c>
      <c r="C14" s="178">
        <v>37.8</v>
      </c>
      <c r="D14" s="178">
        <v>0</v>
      </c>
      <c r="E14" s="178">
        <v>0</v>
      </c>
      <c r="F14" s="179">
        <f>E14-'01.07'!E14</f>
        <v>0</v>
      </c>
      <c r="G14" s="178">
        <v>-0.4</v>
      </c>
      <c r="H14" s="179">
        <f>G14-'01.07'!G14</f>
        <v>0</v>
      </c>
      <c r="I14" s="200">
        <f aca="true" t="shared" si="1" ref="I14:I55">G14/C14*100</f>
        <v>-1.0582010582010584</v>
      </c>
      <c r="J14" s="200" t="e">
        <f aca="true" t="shared" si="2" ref="J14:J55">G14/D14*100</f>
        <v>#DIV/0!</v>
      </c>
      <c r="K14" s="200" t="e">
        <f>G14/E14*100</f>
        <v>#DIV/0!</v>
      </c>
      <c r="L14" s="178">
        <f aca="true" t="shared" si="3" ref="L14:L55">G14-C14</f>
        <v>-38.199999999999996</v>
      </c>
      <c r="M14" s="178">
        <f aca="true" t="shared" si="4" ref="M14:M55">G14-D14</f>
        <v>-0.4</v>
      </c>
      <c r="N14" s="178">
        <f aca="true" t="shared" si="5" ref="N14:N55">G14-E14</f>
        <v>-0.4</v>
      </c>
    </row>
    <row r="15" spans="1:14" ht="38.25">
      <c r="A15" s="203" t="s">
        <v>15</v>
      </c>
      <c r="B15" s="14" t="s">
        <v>16</v>
      </c>
      <c r="C15" s="178">
        <v>34.9</v>
      </c>
      <c r="D15" s="178">
        <v>100</v>
      </c>
      <c r="E15" s="178">
        <v>51.2</v>
      </c>
      <c r="F15" s="179">
        <f>E15-'01.07'!E15</f>
        <v>0</v>
      </c>
      <c r="G15" s="178">
        <v>174.3</v>
      </c>
      <c r="H15" s="179">
        <f>G15-'01.07'!G15</f>
        <v>0.5</v>
      </c>
      <c r="I15" s="200">
        <f t="shared" si="1"/>
        <v>499.4269340974212</v>
      </c>
      <c r="J15" s="200">
        <f t="shared" si="2"/>
        <v>174.3</v>
      </c>
      <c r="K15" s="200">
        <f aca="true" t="shared" si="6" ref="K15:K55">G15/E15*100</f>
        <v>340.4296875</v>
      </c>
      <c r="L15" s="178">
        <f>G15-C15</f>
        <v>139.4</v>
      </c>
      <c r="M15" s="178">
        <f t="shared" si="4"/>
        <v>74.30000000000001</v>
      </c>
      <c r="N15" s="178">
        <f t="shared" si="5"/>
        <v>123.10000000000001</v>
      </c>
    </row>
    <row r="16" spans="1:14" ht="15" customHeight="1">
      <c r="A16" s="204">
        <v>13050000</v>
      </c>
      <c r="B16" s="11" t="s">
        <v>17</v>
      </c>
      <c r="C16" s="178">
        <v>7976.9</v>
      </c>
      <c r="D16" s="178">
        <v>14200</v>
      </c>
      <c r="E16" s="178">
        <v>7854.2</v>
      </c>
      <c r="F16" s="179">
        <f>E16-'01.07'!E16</f>
        <v>1193.0999999999995</v>
      </c>
      <c r="G16" s="178">
        <v>8366.5</v>
      </c>
      <c r="H16" s="179">
        <f>G16-'01.07'!G16</f>
        <v>1192.3999999999996</v>
      </c>
      <c r="I16" s="200">
        <f t="shared" si="1"/>
        <v>104.88410284697063</v>
      </c>
      <c r="J16" s="200">
        <f t="shared" si="2"/>
        <v>58.91901408450704</v>
      </c>
      <c r="K16" s="200">
        <f t="shared" si="6"/>
        <v>106.52262483766648</v>
      </c>
      <c r="L16" s="178">
        <f t="shared" si="3"/>
        <v>389.60000000000036</v>
      </c>
      <c r="M16" s="178">
        <f t="shared" si="4"/>
        <v>-5833.5</v>
      </c>
      <c r="N16" s="178">
        <f t="shared" si="5"/>
        <v>512.3000000000002</v>
      </c>
    </row>
    <row r="17" spans="1:14" ht="26.25">
      <c r="A17" s="204">
        <v>18000000</v>
      </c>
      <c r="B17" s="11" t="s">
        <v>164</v>
      </c>
      <c r="C17" s="181">
        <f>SUM(C18:C20)</f>
        <v>135</v>
      </c>
      <c r="D17" s="181">
        <f>SUM(D18:D20)</f>
        <v>242</v>
      </c>
      <c r="E17" s="181">
        <f>SUM(E18:E20)</f>
        <v>140</v>
      </c>
      <c r="F17" s="179">
        <f>E17-'01.07'!E17</f>
        <v>21</v>
      </c>
      <c r="G17" s="181">
        <f>SUM(G18:G20)</f>
        <v>157.4</v>
      </c>
      <c r="H17" s="179">
        <f>G17-'01.07'!G17</f>
        <v>22.19999999999999</v>
      </c>
      <c r="I17" s="200">
        <f t="shared" si="1"/>
        <v>116.59259259259261</v>
      </c>
      <c r="J17" s="200">
        <f t="shared" si="2"/>
        <v>65.0413223140496</v>
      </c>
      <c r="K17" s="200">
        <f t="shared" si="6"/>
        <v>112.42857142857143</v>
      </c>
      <c r="L17" s="178">
        <f t="shared" si="3"/>
        <v>22.400000000000006</v>
      </c>
      <c r="M17" s="178">
        <f t="shared" si="4"/>
        <v>-84.6</v>
      </c>
      <c r="N17" s="178">
        <f t="shared" si="5"/>
        <v>17.400000000000006</v>
      </c>
    </row>
    <row r="18" spans="1:14" ht="15.75" hidden="1">
      <c r="A18" s="204">
        <v>18020000</v>
      </c>
      <c r="B18" s="10" t="s">
        <v>19</v>
      </c>
      <c r="C18" s="178"/>
      <c r="D18" s="178"/>
      <c r="E18" s="178"/>
      <c r="F18" s="179">
        <f>E18-'01.07'!E18</f>
        <v>0</v>
      </c>
      <c r="G18" s="178"/>
      <c r="H18" s="179">
        <f>G18-'01.07'!G18</f>
        <v>0</v>
      </c>
      <c r="I18" s="200" t="e">
        <f t="shared" si="1"/>
        <v>#DIV/0!</v>
      </c>
      <c r="J18" s="200" t="e">
        <f t="shared" si="2"/>
        <v>#DIV/0!</v>
      </c>
      <c r="K18" s="200" t="e">
        <f t="shared" si="6"/>
        <v>#DIV/0!</v>
      </c>
      <c r="L18" s="178">
        <f t="shared" si="3"/>
        <v>0</v>
      </c>
      <c r="M18" s="178">
        <f t="shared" si="4"/>
        <v>0</v>
      </c>
      <c r="N18" s="178">
        <f t="shared" si="5"/>
        <v>0</v>
      </c>
    </row>
    <row r="19" spans="1:14" ht="15.75">
      <c r="A19" s="204">
        <v>18030000</v>
      </c>
      <c r="B19" s="10" t="s">
        <v>20</v>
      </c>
      <c r="C19" s="178">
        <v>1.2</v>
      </c>
      <c r="D19" s="178">
        <v>2</v>
      </c>
      <c r="E19" s="178">
        <v>1.2</v>
      </c>
      <c r="F19" s="179">
        <f>E19-'01.07'!E19</f>
        <v>0.19999999999999996</v>
      </c>
      <c r="G19" s="178">
        <v>5.3</v>
      </c>
      <c r="H19" s="179">
        <f>G19-'01.07'!G19</f>
        <v>1.9</v>
      </c>
      <c r="I19" s="200">
        <f t="shared" si="1"/>
        <v>441.6666666666667</v>
      </c>
      <c r="J19" s="200">
        <f t="shared" si="2"/>
        <v>265</v>
      </c>
      <c r="K19" s="200">
        <f t="shared" si="6"/>
        <v>441.6666666666667</v>
      </c>
      <c r="L19" s="178">
        <f t="shared" si="3"/>
        <v>4.1</v>
      </c>
      <c r="M19" s="178">
        <f t="shared" si="4"/>
        <v>3.3</v>
      </c>
      <c r="N19" s="178">
        <f t="shared" si="5"/>
        <v>4.1</v>
      </c>
    </row>
    <row r="20" spans="1:14" ht="26.25">
      <c r="A20" s="204">
        <v>18040000</v>
      </c>
      <c r="B20" s="11" t="s">
        <v>21</v>
      </c>
      <c r="C20" s="178">
        <v>133.8</v>
      </c>
      <c r="D20" s="178">
        <v>240</v>
      </c>
      <c r="E20" s="178">
        <v>138.8</v>
      </c>
      <c r="F20" s="179">
        <f>E20-'01.07'!E20</f>
        <v>20.80000000000001</v>
      </c>
      <c r="G20" s="178">
        <v>152.1</v>
      </c>
      <c r="H20" s="179">
        <f>G20-'01.07'!G20</f>
        <v>20.299999999999983</v>
      </c>
      <c r="I20" s="200">
        <f t="shared" si="1"/>
        <v>113.67713004484304</v>
      </c>
      <c r="J20" s="200">
        <f t="shared" si="2"/>
        <v>63.37499999999999</v>
      </c>
      <c r="K20" s="200">
        <f t="shared" si="6"/>
        <v>109.58213256484149</v>
      </c>
      <c r="L20" s="178">
        <f t="shared" si="3"/>
        <v>18.299999999999983</v>
      </c>
      <c r="M20" s="178">
        <f t="shared" si="4"/>
        <v>-87.9</v>
      </c>
      <c r="N20" s="178">
        <f t="shared" si="5"/>
        <v>13.299999999999983</v>
      </c>
    </row>
    <row r="21" spans="1:14" ht="26.25">
      <c r="A21" s="204">
        <v>19040100</v>
      </c>
      <c r="B21" s="11" t="s">
        <v>41</v>
      </c>
      <c r="C21" s="178">
        <v>0.1</v>
      </c>
      <c r="D21" s="178">
        <v>0</v>
      </c>
      <c r="E21" s="178">
        <v>0</v>
      </c>
      <c r="F21" s="179">
        <f>E21-'01.07'!E21</f>
        <v>0</v>
      </c>
      <c r="G21" s="178">
        <v>0.2</v>
      </c>
      <c r="H21" s="179">
        <f>G21-'01.07'!G21</f>
        <v>0</v>
      </c>
      <c r="I21" s="200">
        <f t="shared" si="1"/>
        <v>200</v>
      </c>
      <c r="J21" s="200" t="e">
        <f t="shared" si="2"/>
        <v>#DIV/0!</v>
      </c>
      <c r="K21" s="200" t="e">
        <f t="shared" si="6"/>
        <v>#DIV/0!</v>
      </c>
      <c r="L21" s="178">
        <f>G21-C21</f>
        <v>0.1</v>
      </c>
      <c r="M21" s="178">
        <f>G21-D21</f>
        <v>0.2</v>
      </c>
      <c r="N21" s="178">
        <f>G21-E21</f>
        <v>0.2</v>
      </c>
    </row>
    <row r="22" spans="1:14" ht="51">
      <c r="A22" s="44" t="s">
        <v>26</v>
      </c>
      <c r="B22" s="8" t="s">
        <v>162</v>
      </c>
      <c r="C22" s="178">
        <v>1.1</v>
      </c>
      <c r="D22" s="178">
        <v>0</v>
      </c>
      <c r="E22" s="178">
        <v>0</v>
      </c>
      <c r="F22" s="179">
        <f>E22-'01.07'!E22</f>
        <v>0</v>
      </c>
      <c r="G22" s="178">
        <v>0</v>
      </c>
      <c r="H22" s="179">
        <f>G22-'01.07'!G22</f>
        <v>0</v>
      </c>
      <c r="I22" s="200">
        <f t="shared" si="1"/>
        <v>0</v>
      </c>
      <c r="J22" s="200" t="e">
        <f t="shared" si="2"/>
        <v>#DIV/0!</v>
      </c>
      <c r="K22" s="200" t="e">
        <f t="shared" si="6"/>
        <v>#DIV/0!</v>
      </c>
      <c r="L22" s="178">
        <f t="shared" si="3"/>
        <v>-1.1</v>
      </c>
      <c r="M22" s="178">
        <f t="shared" si="4"/>
        <v>0</v>
      </c>
      <c r="N22" s="178">
        <f t="shared" si="5"/>
        <v>0</v>
      </c>
    </row>
    <row r="23" spans="1:14" ht="15.75">
      <c r="A23" s="203" t="s">
        <v>24</v>
      </c>
      <c r="B23" s="9" t="s">
        <v>25</v>
      </c>
      <c r="C23" s="178">
        <v>15.2</v>
      </c>
      <c r="D23" s="178">
        <v>15</v>
      </c>
      <c r="E23" s="178">
        <v>8.3</v>
      </c>
      <c r="F23" s="179">
        <f>E23-'01.07'!E23</f>
        <v>1.4000000000000004</v>
      </c>
      <c r="G23" s="178">
        <v>15.5</v>
      </c>
      <c r="H23" s="179">
        <f>G23-'01.07'!G23</f>
        <v>2.3000000000000007</v>
      </c>
      <c r="I23" s="200">
        <f t="shared" si="1"/>
        <v>101.97368421052633</v>
      </c>
      <c r="J23" s="200">
        <f t="shared" si="2"/>
        <v>103.33333333333334</v>
      </c>
      <c r="K23" s="200">
        <f t="shared" si="6"/>
        <v>186.74698795180723</v>
      </c>
      <c r="L23" s="178">
        <f t="shared" si="3"/>
        <v>0.3000000000000007</v>
      </c>
      <c r="M23" s="178">
        <f t="shared" si="4"/>
        <v>0.5</v>
      </c>
      <c r="N23" s="178">
        <f t="shared" si="5"/>
        <v>7.199999999999999</v>
      </c>
    </row>
    <row r="24" spans="1:14" ht="53.25" customHeight="1">
      <c r="A24" s="203" t="s">
        <v>22</v>
      </c>
      <c r="B24" s="18" t="s">
        <v>23</v>
      </c>
      <c r="C24" s="178">
        <v>355.4</v>
      </c>
      <c r="D24" s="178">
        <v>645</v>
      </c>
      <c r="E24" s="178">
        <v>361.5</v>
      </c>
      <c r="F24" s="179">
        <f>E24-'01.07'!E24</f>
        <v>53.60000000000002</v>
      </c>
      <c r="G24" s="178">
        <v>385.1</v>
      </c>
      <c r="H24" s="179">
        <f>G24-'01.07'!G24</f>
        <v>43</v>
      </c>
      <c r="I24" s="200">
        <f t="shared" si="1"/>
        <v>108.35678109172764</v>
      </c>
      <c r="J24" s="200">
        <f t="shared" si="2"/>
        <v>59.70542635658915</v>
      </c>
      <c r="K24" s="200">
        <f t="shared" si="6"/>
        <v>106.5283540802213</v>
      </c>
      <c r="L24" s="178">
        <f t="shared" si="3"/>
        <v>29.700000000000045</v>
      </c>
      <c r="M24" s="178">
        <f t="shared" si="4"/>
        <v>-259.9</v>
      </c>
      <c r="N24" s="178">
        <f t="shared" si="5"/>
        <v>23.600000000000023</v>
      </c>
    </row>
    <row r="25" spans="1:14" ht="31.5">
      <c r="A25" s="204" t="s">
        <v>55</v>
      </c>
      <c r="B25" s="10" t="s">
        <v>28</v>
      </c>
      <c r="C25" s="178">
        <v>173.5</v>
      </c>
      <c r="D25" s="178">
        <v>0</v>
      </c>
      <c r="E25" s="178">
        <v>0</v>
      </c>
      <c r="F25" s="179">
        <f>E25-'01.07'!E25</f>
        <v>0</v>
      </c>
      <c r="G25" s="178">
        <v>18.1</v>
      </c>
      <c r="H25" s="179">
        <f>G25-'01.07'!G25</f>
        <v>1.4000000000000021</v>
      </c>
      <c r="I25" s="200">
        <f t="shared" si="1"/>
        <v>10.43227665706052</v>
      </c>
      <c r="J25" s="200" t="e">
        <f t="shared" si="2"/>
        <v>#DIV/0!</v>
      </c>
      <c r="K25" s="200" t="e">
        <f t="shared" si="6"/>
        <v>#DIV/0!</v>
      </c>
      <c r="L25" s="178">
        <f t="shared" si="3"/>
        <v>-155.4</v>
      </c>
      <c r="M25" s="178">
        <f t="shared" si="4"/>
        <v>18.1</v>
      </c>
      <c r="N25" s="178">
        <f t="shared" si="5"/>
        <v>18.1</v>
      </c>
    </row>
    <row r="26" spans="1:14" ht="0.75" customHeight="1" hidden="1">
      <c r="A26" s="204">
        <v>24060600</v>
      </c>
      <c r="B26" s="11" t="s">
        <v>29</v>
      </c>
      <c r="C26" s="178"/>
      <c r="D26" s="178"/>
      <c r="E26" s="178"/>
      <c r="F26" s="179">
        <f>E26-'01.07'!E26</f>
        <v>0</v>
      </c>
      <c r="G26" s="178"/>
      <c r="H26" s="179">
        <f>G26-'01.07'!G26</f>
        <v>0</v>
      </c>
      <c r="I26" s="200" t="e">
        <f t="shared" si="1"/>
        <v>#DIV/0!</v>
      </c>
      <c r="J26" s="200" t="e">
        <f t="shared" si="2"/>
        <v>#DIV/0!</v>
      </c>
      <c r="K26" s="200" t="e">
        <f t="shared" si="6"/>
        <v>#DIV/0!</v>
      </c>
      <c r="L26" s="178">
        <f t="shared" si="3"/>
        <v>0</v>
      </c>
      <c r="M26" s="178">
        <f t="shared" si="4"/>
        <v>0</v>
      </c>
      <c r="N26" s="178">
        <f t="shared" si="5"/>
        <v>0</v>
      </c>
    </row>
    <row r="27" spans="1:14" ht="64.5">
      <c r="A27" s="204">
        <v>31010200</v>
      </c>
      <c r="B27" s="11" t="s">
        <v>30</v>
      </c>
      <c r="C27" s="178">
        <v>4.8</v>
      </c>
      <c r="D27" s="178">
        <v>0</v>
      </c>
      <c r="E27" s="178">
        <v>0</v>
      </c>
      <c r="F27" s="179">
        <f>E27-'01.07'!E27</f>
        <v>0</v>
      </c>
      <c r="G27" s="178">
        <v>1</v>
      </c>
      <c r="H27" s="179">
        <f>G27-'01.07'!G27</f>
        <v>0.9</v>
      </c>
      <c r="I27" s="200">
        <f t="shared" si="1"/>
        <v>20.833333333333336</v>
      </c>
      <c r="J27" s="200" t="e">
        <f t="shared" si="2"/>
        <v>#DIV/0!</v>
      </c>
      <c r="K27" s="200" t="e">
        <f t="shared" si="6"/>
        <v>#DIV/0!</v>
      </c>
      <c r="L27" s="178">
        <f t="shared" si="3"/>
        <v>-3.8</v>
      </c>
      <c r="M27" s="178">
        <f t="shared" si="4"/>
        <v>1</v>
      </c>
      <c r="N27" s="178">
        <f t="shared" si="5"/>
        <v>1</v>
      </c>
    </row>
    <row r="28" spans="1:14" s="102" customFormat="1" ht="30" customHeight="1">
      <c r="A28" s="301" t="s">
        <v>31</v>
      </c>
      <c r="B28" s="301"/>
      <c r="C28" s="180">
        <f aca="true" t="shared" si="7" ref="C28:H28">SUM(C14:C27)-C17</f>
        <v>8734.699999999999</v>
      </c>
      <c r="D28" s="180">
        <f t="shared" si="7"/>
        <v>15202</v>
      </c>
      <c r="E28" s="180">
        <f t="shared" si="7"/>
        <v>8415.199999999999</v>
      </c>
      <c r="F28" s="180">
        <f t="shared" si="7"/>
        <v>1269.0999999999995</v>
      </c>
      <c r="G28" s="180">
        <f t="shared" si="7"/>
        <v>9117.7</v>
      </c>
      <c r="H28" s="180">
        <f t="shared" si="7"/>
        <v>1262.6999999999998</v>
      </c>
      <c r="I28" s="201">
        <f t="shared" si="1"/>
        <v>104.38481001064721</v>
      </c>
      <c r="J28" s="201">
        <f t="shared" si="2"/>
        <v>59.976976713590325</v>
      </c>
      <c r="K28" s="201">
        <f t="shared" si="6"/>
        <v>108.34798935260008</v>
      </c>
      <c r="L28" s="180">
        <f t="shared" si="3"/>
        <v>383.0000000000018</v>
      </c>
      <c r="M28" s="180">
        <f t="shared" si="4"/>
        <v>-6084.299999999999</v>
      </c>
      <c r="N28" s="180">
        <f t="shared" si="5"/>
        <v>702.5000000000018</v>
      </c>
    </row>
    <row r="29" spans="1:14" ht="25.5" customHeight="1">
      <c r="A29" s="299" t="s">
        <v>35</v>
      </c>
      <c r="B29" s="299"/>
      <c r="C29" s="22">
        <f aca="true" t="shared" si="8" ref="C29:H29">C13+C28</f>
        <v>55250.7</v>
      </c>
      <c r="D29" s="22">
        <f t="shared" si="8"/>
        <v>117320.2</v>
      </c>
      <c r="E29" s="22">
        <f t="shared" si="8"/>
        <v>67896.5</v>
      </c>
      <c r="F29" s="22">
        <f t="shared" si="8"/>
        <v>10313.7</v>
      </c>
      <c r="G29" s="22">
        <f t="shared" si="8"/>
        <v>67470</v>
      </c>
      <c r="H29" s="22">
        <f t="shared" si="8"/>
        <v>9603.100000000002</v>
      </c>
      <c r="I29" s="25">
        <f t="shared" si="1"/>
        <v>122.11609988651728</v>
      </c>
      <c r="J29" s="25">
        <f t="shared" si="2"/>
        <v>57.509278027142805</v>
      </c>
      <c r="K29" s="25">
        <f t="shared" si="6"/>
        <v>99.37183801815999</v>
      </c>
      <c r="L29" s="22">
        <f t="shared" si="3"/>
        <v>12219.300000000003</v>
      </c>
      <c r="M29" s="22">
        <f t="shared" si="4"/>
        <v>-49850.2</v>
      </c>
      <c r="N29" s="22">
        <f t="shared" si="5"/>
        <v>-426.5</v>
      </c>
    </row>
    <row r="30" spans="1:14" ht="26.25">
      <c r="A30" s="205">
        <v>40000000</v>
      </c>
      <c r="B30" s="20" t="s">
        <v>32</v>
      </c>
      <c r="C30" s="180">
        <f aca="true" t="shared" si="9" ref="C30:H30">SUM(C31:C32)</f>
        <v>13288.5</v>
      </c>
      <c r="D30" s="180">
        <f t="shared" si="9"/>
        <v>35940.7</v>
      </c>
      <c r="E30" s="180">
        <f t="shared" si="9"/>
        <v>19189</v>
      </c>
      <c r="F30" s="180">
        <f t="shared" si="9"/>
        <v>3151.1000000000013</v>
      </c>
      <c r="G30" s="180">
        <f t="shared" si="9"/>
        <v>19073.1</v>
      </c>
      <c r="H30" s="180">
        <f t="shared" si="9"/>
        <v>3115.2000000000007</v>
      </c>
      <c r="I30" s="201">
        <f t="shared" si="1"/>
        <v>143.53087255897955</v>
      </c>
      <c r="J30" s="201">
        <f t="shared" si="2"/>
        <v>53.06824853160901</v>
      </c>
      <c r="K30" s="201">
        <f t="shared" si="6"/>
        <v>99.39600812965762</v>
      </c>
      <c r="L30" s="180">
        <f t="shared" si="3"/>
        <v>5784.5999999999985</v>
      </c>
      <c r="M30" s="180">
        <f t="shared" si="4"/>
        <v>-16867.6</v>
      </c>
      <c r="N30" s="180">
        <f t="shared" si="5"/>
        <v>-115.90000000000146</v>
      </c>
    </row>
    <row r="31" spans="1:14" ht="15.75">
      <c r="A31" s="206">
        <v>41020000</v>
      </c>
      <c r="B31" s="11" t="s">
        <v>33</v>
      </c>
      <c r="C31" s="178">
        <v>168.4</v>
      </c>
      <c r="D31" s="178">
        <v>7490</v>
      </c>
      <c r="E31" s="178">
        <f>1970.7+90.6</f>
        <v>2061.3</v>
      </c>
      <c r="F31" s="179">
        <f>E31-'01.07'!E31</f>
        <v>590.8000000000002</v>
      </c>
      <c r="G31" s="178">
        <f>2061.3</f>
        <v>2061.3</v>
      </c>
      <c r="H31" s="179">
        <f>G31-'01.07'!G31</f>
        <v>591.1000000000001</v>
      </c>
      <c r="I31" s="200">
        <f t="shared" si="1"/>
        <v>1224.0498812351545</v>
      </c>
      <c r="J31" s="200">
        <f t="shared" si="2"/>
        <v>27.520694259012018</v>
      </c>
      <c r="K31" s="200">
        <f t="shared" si="6"/>
        <v>100</v>
      </c>
      <c r="L31" s="178">
        <f t="shared" si="3"/>
        <v>1892.9</v>
      </c>
      <c r="M31" s="178">
        <f t="shared" si="4"/>
        <v>-5428.7</v>
      </c>
      <c r="N31" s="178">
        <f t="shared" si="5"/>
        <v>0</v>
      </c>
    </row>
    <row r="32" spans="1:14" ht="15.75">
      <c r="A32" s="206">
        <v>41030000</v>
      </c>
      <c r="B32" s="11" t="s">
        <v>34</v>
      </c>
      <c r="C32" s="178">
        <v>13120.1</v>
      </c>
      <c r="D32" s="178">
        <v>28450.7</v>
      </c>
      <c r="E32" s="178">
        <f>19189-2061.3</f>
        <v>17127.7</v>
      </c>
      <c r="F32" s="179">
        <f>E32-'01.07'!E32</f>
        <v>2560.300000000001</v>
      </c>
      <c r="G32" s="178">
        <f>19073.1-2061.3</f>
        <v>17011.8</v>
      </c>
      <c r="H32" s="179">
        <f>G32-'01.07'!G32</f>
        <v>2524.1000000000004</v>
      </c>
      <c r="I32" s="200">
        <f t="shared" si="1"/>
        <v>129.66212147773263</v>
      </c>
      <c r="J32" s="200">
        <f t="shared" si="2"/>
        <v>59.7939593753405</v>
      </c>
      <c r="K32" s="200">
        <f t="shared" si="6"/>
        <v>99.3233183673231</v>
      </c>
      <c r="L32" s="178">
        <f t="shared" si="3"/>
        <v>3891.699999999999</v>
      </c>
      <c r="M32" s="178">
        <f t="shared" si="4"/>
        <v>-11438.900000000001</v>
      </c>
      <c r="N32" s="178">
        <f t="shared" si="5"/>
        <v>-115.90000000000146</v>
      </c>
    </row>
    <row r="33" spans="1:14" ht="40.5" customHeight="1">
      <c r="A33" s="302" t="s">
        <v>50</v>
      </c>
      <c r="B33" s="302"/>
      <c r="C33" s="23">
        <f aca="true" t="shared" si="10" ref="C33:H33">C29+C30</f>
        <v>68539.2</v>
      </c>
      <c r="D33" s="23">
        <f>D29+D30</f>
        <v>153260.9</v>
      </c>
      <c r="E33" s="23">
        <f t="shared" si="10"/>
        <v>87085.5</v>
      </c>
      <c r="F33" s="23">
        <f t="shared" si="10"/>
        <v>13464.800000000003</v>
      </c>
      <c r="G33" s="23">
        <f t="shared" si="10"/>
        <v>86543.1</v>
      </c>
      <c r="H33" s="23">
        <f t="shared" si="10"/>
        <v>12718.300000000003</v>
      </c>
      <c r="I33" s="26">
        <f t="shared" si="1"/>
        <v>126.2680334757336</v>
      </c>
      <c r="J33" s="26">
        <f t="shared" si="2"/>
        <v>56.46782708440313</v>
      </c>
      <c r="K33" s="26">
        <f t="shared" si="6"/>
        <v>99.37716382176139</v>
      </c>
      <c r="L33" s="23">
        <f t="shared" si="3"/>
        <v>18003.90000000001</v>
      </c>
      <c r="M33" s="23">
        <f t="shared" si="4"/>
        <v>-66717.79999999999</v>
      </c>
      <c r="N33" s="23">
        <f t="shared" si="5"/>
        <v>-542.3999999999942</v>
      </c>
    </row>
    <row r="34" spans="1:14" ht="24" customHeight="1">
      <c r="A34" s="300" t="s">
        <v>37</v>
      </c>
      <c r="B34" s="300"/>
      <c r="C34" s="300"/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300"/>
    </row>
    <row r="35" spans="1:14" ht="27.75" customHeight="1">
      <c r="A35" s="301" t="s">
        <v>165</v>
      </c>
      <c r="B35" s="301"/>
      <c r="C35" s="180">
        <f aca="true" t="shared" si="11" ref="C35:H35">SUM(C36:C38)</f>
        <v>173.9</v>
      </c>
      <c r="D35" s="180">
        <f t="shared" si="11"/>
        <v>48</v>
      </c>
      <c r="E35" s="180">
        <f t="shared" si="11"/>
        <v>27.3</v>
      </c>
      <c r="F35" s="180">
        <f t="shared" si="11"/>
        <v>3.6000000000000014</v>
      </c>
      <c r="G35" s="180">
        <f t="shared" si="11"/>
        <v>105.5</v>
      </c>
      <c r="H35" s="180">
        <f t="shared" si="11"/>
        <v>18.899999999999995</v>
      </c>
      <c r="I35" s="207">
        <f t="shared" si="1"/>
        <v>60.66705002875216</v>
      </c>
      <c r="J35" s="207">
        <f t="shared" si="2"/>
        <v>219.79166666666666</v>
      </c>
      <c r="K35" s="207">
        <f t="shared" si="6"/>
        <v>386.4468864468864</v>
      </c>
      <c r="L35" s="208">
        <f t="shared" si="3"/>
        <v>-68.4</v>
      </c>
      <c r="M35" s="208">
        <f t="shared" si="4"/>
        <v>57.5</v>
      </c>
      <c r="N35" s="208">
        <f t="shared" si="5"/>
        <v>78.2</v>
      </c>
    </row>
    <row r="36" spans="1:14" ht="26.25">
      <c r="A36" s="204">
        <v>12020000</v>
      </c>
      <c r="B36" s="11" t="s">
        <v>38</v>
      </c>
      <c r="C36" s="178">
        <f>139.4+0.2</f>
        <v>139.6</v>
      </c>
      <c r="D36" s="178">
        <v>0</v>
      </c>
      <c r="E36" s="178">
        <v>0</v>
      </c>
      <c r="F36" s="179">
        <f>E36-'01.07'!E36</f>
        <v>0</v>
      </c>
      <c r="G36" s="178">
        <v>59.8</v>
      </c>
      <c r="H36" s="179">
        <f>G36-'01.07'!G36</f>
        <v>9.299999999999997</v>
      </c>
      <c r="I36" s="200">
        <f t="shared" si="1"/>
        <v>42.83667621776504</v>
      </c>
      <c r="J36" s="200" t="e">
        <f t="shared" si="2"/>
        <v>#DIV/0!</v>
      </c>
      <c r="K36" s="200" t="e">
        <f t="shared" si="6"/>
        <v>#DIV/0!</v>
      </c>
      <c r="L36" s="178">
        <f t="shared" si="3"/>
        <v>-79.8</v>
      </c>
      <c r="M36" s="178">
        <f t="shared" si="4"/>
        <v>59.8</v>
      </c>
      <c r="N36" s="178">
        <f t="shared" si="5"/>
        <v>59.8</v>
      </c>
    </row>
    <row r="37" spans="1:14" ht="26.25">
      <c r="A37" s="204">
        <v>12030000</v>
      </c>
      <c r="B37" s="11" t="s">
        <v>39</v>
      </c>
      <c r="C37" s="178">
        <v>17.9</v>
      </c>
      <c r="D37" s="178">
        <v>24</v>
      </c>
      <c r="E37" s="178">
        <v>13.3</v>
      </c>
      <c r="F37" s="179">
        <f>E37-'01.07'!E37</f>
        <v>1.700000000000001</v>
      </c>
      <c r="G37" s="178">
        <v>19.7</v>
      </c>
      <c r="H37" s="179">
        <f>G37-'01.07'!G37</f>
        <v>5.899999999999999</v>
      </c>
      <c r="I37" s="200">
        <f>G37/C37*100</f>
        <v>110.05586592178771</v>
      </c>
      <c r="J37" s="200">
        <f>G37/D37*100</f>
        <v>82.08333333333333</v>
      </c>
      <c r="K37" s="200">
        <f>G37/E37*100</f>
        <v>148.1203007518797</v>
      </c>
      <c r="L37" s="178">
        <f t="shared" si="3"/>
        <v>1.8000000000000007</v>
      </c>
      <c r="M37" s="178">
        <f t="shared" si="4"/>
        <v>-4.300000000000001</v>
      </c>
      <c r="N37" s="178">
        <f t="shared" si="5"/>
        <v>6.399999999999999</v>
      </c>
    </row>
    <row r="38" spans="1:14" ht="79.5" customHeight="1">
      <c r="A38" s="204">
        <v>18041500</v>
      </c>
      <c r="B38" s="11" t="s">
        <v>40</v>
      </c>
      <c r="C38" s="178">
        <v>16.4</v>
      </c>
      <c r="D38" s="178">
        <v>24</v>
      </c>
      <c r="E38" s="178">
        <v>14</v>
      </c>
      <c r="F38" s="179">
        <f>E38-'01.07'!E38</f>
        <v>1.9000000000000004</v>
      </c>
      <c r="G38" s="178">
        <v>26</v>
      </c>
      <c r="H38" s="179">
        <f>G38-'01.07'!G38</f>
        <v>3.6999999999999993</v>
      </c>
      <c r="I38" s="200">
        <f>G38/C38*100</f>
        <v>158.53658536585365</v>
      </c>
      <c r="J38" s="200">
        <f>G38/D38*100</f>
        <v>108.33333333333333</v>
      </c>
      <c r="K38" s="200">
        <f>G38/E38*100</f>
        <v>185.71428571428572</v>
      </c>
      <c r="L38" s="178">
        <f t="shared" si="3"/>
        <v>9.600000000000001</v>
      </c>
      <c r="M38" s="178">
        <f t="shared" si="4"/>
        <v>2</v>
      </c>
      <c r="N38" s="178">
        <f t="shared" si="5"/>
        <v>12</v>
      </c>
    </row>
    <row r="39" spans="1:14" ht="28.5" customHeight="1">
      <c r="A39" s="301" t="s">
        <v>166</v>
      </c>
      <c r="B39" s="301"/>
      <c r="C39" s="208">
        <f aca="true" t="shared" si="12" ref="C39:H39">SUM(C40:C42)</f>
        <v>53.1</v>
      </c>
      <c r="D39" s="208">
        <f t="shared" si="12"/>
        <v>200</v>
      </c>
      <c r="E39" s="208">
        <f t="shared" si="12"/>
        <v>100</v>
      </c>
      <c r="F39" s="208">
        <f t="shared" si="12"/>
        <v>0</v>
      </c>
      <c r="G39" s="208">
        <f t="shared" si="12"/>
        <v>91.04</v>
      </c>
      <c r="H39" s="208">
        <f t="shared" si="12"/>
        <v>0.04</v>
      </c>
      <c r="I39" s="207">
        <f t="shared" si="1"/>
        <v>171.4500941619586</v>
      </c>
      <c r="J39" s="207">
        <f t="shared" si="2"/>
        <v>45.52</v>
      </c>
      <c r="K39" s="207">
        <f t="shared" si="6"/>
        <v>91.04</v>
      </c>
      <c r="L39" s="208">
        <f t="shared" si="3"/>
        <v>37.940000000000005</v>
      </c>
      <c r="M39" s="208">
        <f t="shared" si="4"/>
        <v>-108.96</v>
      </c>
      <c r="N39" s="208">
        <f t="shared" si="5"/>
        <v>-8.959999999999994</v>
      </c>
    </row>
    <row r="40" spans="1:14" ht="15.75">
      <c r="A40" s="204">
        <v>19010000</v>
      </c>
      <c r="B40" s="11" t="s">
        <v>42</v>
      </c>
      <c r="C40" s="178">
        <v>35.2</v>
      </c>
      <c r="D40" s="178">
        <v>200</v>
      </c>
      <c r="E40" s="178">
        <v>100</v>
      </c>
      <c r="F40" s="179">
        <f>E40-'01.07'!E40</f>
        <v>0</v>
      </c>
      <c r="G40" s="178">
        <v>91</v>
      </c>
      <c r="H40" s="179">
        <f>G40-'01.07'!G40</f>
        <v>0</v>
      </c>
      <c r="I40" s="200">
        <f t="shared" si="1"/>
        <v>258.52272727272725</v>
      </c>
      <c r="J40" s="200">
        <f t="shared" si="2"/>
        <v>45.5</v>
      </c>
      <c r="K40" s="200">
        <f t="shared" si="6"/>
        <v>91</v>
      </c>
      <c r="L40" s="178">
        <f t="shared" si="3"/>
        <v>55.8</v>
      </c>
      <c r="M40" s="178">
        <f t="shared" si="4"/>
        <v>-109</v>
      </c>
      <c r="N40" s="178">
        <f t="shared" si="5"/>
        <v>-9</v>
      </c>
    </row>
    <row r="41" spans="1:14" ht="26.25">
      <c r="A41" s="204">
        <v>19050000</v>
      </c>
      <c r="B41" s="11" t="s">
        <v>43</v>
      </c>
      <c r="C41" s="178">
        <v>16.6</v>
      </c>
      <c r="D41" s="178">
        <v>0</v>
      </c>
      <c r="E41" s="178">
        <v>0</v>
      </c>
      <c r="F41" s="179">
        <f>E41-'01.07'!E41</f>
        <v>0</v>
      </c>
      <c r="G41" s="178">
        <v>0.04</v>
      </c>
      <c r="H41" s="179">
        <f>G41-'01.07'!G41</f>
        <v>0.04</v>
      </c>
      <c r="I41" s="200">
        <f t="shared" si="1"/>
        <v>0.24096385542168672</v>
      </c>
      <c r="J41" s="200" t="e">
        <f t="shared" si="2"/>
        <v>#DIV/0!</v>
      </c>
      <c r="K41" s="200" t="e">
        <f t="shared" si="6"/>
        <v>#DIV/0!</v>
      </c>
      <c r="L41" s="178">
        <f t="shared" si="3"/>
        <v>-16.560000000000002</v>
      </c>
      <c r="M41" s="178">
        <f t="shared" si="4"/>
        <v>0.04</v>
      </c>
      <c r="N41" s="178">
        <f t="shared" si="5"/>
        <v>0.04</v>
      </c>
    </row>
    <row r="42" spans="1:14" ht="64.5">
      <c r="A42" s="204">
        <v>24062100</v>
      </c>
      <c r="B42" s="11" t="s">
        <v>56</v>
      </c>
      <c r="C42" s="178">
        <v>1.3</v>
      </c>
      <c r="D42" s="178">
        <v>0</v>
      </c>
      <c r="E42" s="178">
        <v>0</v>
      </c>
      <c r="F42" s="179">
        <f>E42-'01.07'!E42</f>
        <v>0</v>
      </c>
      <c r="G42" s="178">
        <v>0</v>
      </c>
      <c r="H42" s="179">
        <f>G42-'01.07'!G42</f>
        <v>0</v>
      </c>
      <c r="I42" s="200">
        <f t="shared" si="1"/>
        <v>0</v>
      </c>
      <c r="J42" s="200" t="e">
        <f t="shared" si="2"/>
        <v>#DIV/0!</v>
      </c>
      <c r="K42" s="200" t="e">
        <f t="shared" si="6"/>
        <v>#DIV/0!</v>
      </c>
      <c r="L42" s="178">
        <f t="shared" si="3"/>
        <v>-1.3</v>
      </c>
      <c r="M42" s="178">
        <f t="shared" si="4"/>
        <v>0</v>
      </c>
      <c r="N42" s="178">
        <f t="shared" si="5"/>
        <v>0</v>
      </c>
    </row>
    <row r="43" spans="1:14" ht="33" customHeight="1">
      <c r="A43" s="301" t="s">
        <v>167</v>
      </c>
      <c r="B43" s="301"/>
      <c r="C43" s="208">
        <f aca="true" t="shared" si="13" ref="C43:H43">SUM(C44:C46)</f>
        <v>1156.5</v>
      </c>
      <c r="D43" s="208">
        <f t="shared" si="13"/>
        <v>1800</v>
      </c>
      <c r="E43" s="208">
        <f t="shared" si="13"/>
        <v>1044.5</v>
      </c>
      <c r="F43" s="208">
        <f t="shared" si="13"/>
        <v>148.60000000000002</v>
      </c>
      <c r="G43" s="208">
        <f t="shared" si="13"/>
        <v>1705.6</v>
      </c>
      <c r="H43" s="208">
        <f t="shared" si="13"/>
        <v>338.79999999999995</v>
      </c>
      <c r="I43" s="207">
        <f t="shared" si="1"/>
        <v>147.47946389969735</v>
      </c>
      <c r="J43" s="207">
        <f t="shared" si="2"/>
        <v>94.75555555555555</v>
      </c>
      <c r="K43" s="207">
        <f t="shared" si="6"/>
        <v>163.2934418382001</v>
      </c>
      <c r="L43" s="208">
        <f t="shared" si="3"/>
        <v>549.0999999999999</v>
      </c>
      <c r="M43" s="208">
        <f t="shared" si="4"/>
        <v>-94.40000000000009</v>
      </c>
      <c r="N43" s="208">
        <f t="shared" si="5"/>
        <v>661.0999999999999</v>
      </c>
    </row>
    <row r="44" spans="1:14" ht="22.5" customHeight="1">
      <c r="A44" s="204">
        <v>18050000</v>
      </c>
      <c r="B44" s="11" t="s">
        <v>44</v>
      </c>
      <c r="C44" s="178">
        <v>1118</v>
      </c>
      <c r="D44" s="178">
        <v>1800</v>
      </c>
      <c r="E44" s="178">
        <v>1044.5</v>
      </c>
      <c r="F44" s="179">
        <f>E44-'01.07'!E44</f>
        <v>148.60000000000002</v>
      </c>
      <c r="G44" s="178">
        <v>1705.5</v>
      </c>
      <c r="H44" s="179">
        <f>G44-'01.07'!G44</f>
        <v>338.79999999999995</v>
      </c>
      <c r="I44" s="209">
        <f t="shared" si="1"/>
        <v>152.54919499105546</v>
      </c>
      <c r="J44" s="209">
        <f t="shared" si="2"/>
        <v>94.75</v>
      </c>
      <c r="K44" s="209">
        <f t="shared" si="6"/>
        <v>163.28386787936813</v>
      </c>
      <c r="L44" s="210">
        <f t="shared" si="3"/>
        <v>587.5</v>
      </c>
      <c r="M44" s="210">
        <f t="shared" si="4"/>
        <v>-94.5</v>
      </c>
      <c r="N44" s="210">
        <f t="shared" si="5"/>
        <v>661</v>
      </c>
    </row>
    <row r="45" spans="1:14" ht="39">
      <c r="A45" s="206">
        <v>31030000</v>
      </c>
      <c r="B45" s="11" t="s">
        <v>45</v>
      </c>
      <c r="C45" s="178">
        <v>0</v>
      </c>
      <c r="D45" s="178">
        <v>0</v>
      </c>
      <c r="E45" s="178">
        <v>0</v>
      </c>
      <c r="F45" s="179">
        <f>E45-'01.07'!E45</f>
        <v>0</v>
      </c>
      <c r="G45" s="178">
        <v>0.1</v>
      </c>
      <c r="H45" s="179">
        <f>G45-'01.07'!G45</f>
        <v>0</v>
      </c>
      <c r="I45" s="209" t="e">
        <f t="shared" si="1"/>
        <v>#DIV/0!</v>
      </c>
      <c r="J45" s="209" t="e">
        <f t="shared" si="2"/>
        <v>#DIV/0!</v>
      </c>
      <c r="K45" s="209" t="e">
        <f t="shared" si="6"/>
        <v>#DIV/0!</v>
      </c>
      <c r="L45" s="210">
        <f t="shared" si="3"/>
        <v>0.1</v>
      </c>
      <c r="M45" s="210">
        <f t="shared" si="4"/>
        <v>0.1</v>
      </c>
      <c r="N45" s="210">
        <f t="shared" si="5"/>
        <v>0.1</v>
      </c>
    </row>
    <row r="46" spans="1:14" ht="15.75">
      <c r="A46" s="206">
        <v>33010000</v>
      </c>
      <c r="B46" s="11" t="s">
        <v>46</v>
      </c>
      <c r="C46" s="178">
        <v>38.5</v>
      </c>
      <c r="D46" s="178">
        <v>0</v>
      </c>
      <c r="E46" s="178">
        <v>0</v>
      </c>
      <c r="F46" s="179">
        <f>E46-'01.07'!E46</f>
        <v>0</v>
      </c>
      <c r="G46" s="178">
        <v>0</v>
      </c>
      <c r="H46" s="179">
        <f>G46-'01.07'!G46</f>
        <v>0</v>
      </c>
      <c r="I46" s="209">
        <f t="shared" si="1"/>
        <v>0</v>
      </c>
      <c r="J46" s="209" t="e">
        <f t="shared" si="2"/>
        <v>#DIV/0!</v>
      </c>
      <c r="K46" s="209" t="e">
        <f t="shared" si="6"/>
        <v>#DIV/0!</v>
      </c>
      <c r="L46" s="210">
        <f t="shared" si="3"/>
        <v>-38.5</v>
      </c>
      <c r="M46" s="210">
        <f t="shared" si="4"/>
        <v>0</v>
      </c>
      <c r="N46" s="210">
        <f t="shared" si="5"/>
        <v>0</v>
      </c>
    </row>
    <row r="47" spans="1:14" ht="17.25" customHeight="1">
      <c r="A47" s="297" t="s">
        <v>47</v>
      </c>
      <c r="B47" s="297"/>
      <c r="C47" s="208">
        <v>49.1</v>
      </c>
      <c r="D47" s="208">
        <v>370</v>
      </c>
      <c r="E47" s="208">
        <v>166</v>
      </c>
      <c r="F47" s="208">
        <f>E47-'01.07'!E47</f>
        <v>166</v>
      </c>
      <c r="G47" s="208">
        <v>391.1</v>
      </c>
      <c r="H47" s="208">
        <f>G47-'01.07'!G47</f>
        <v>18.30000000000001</v>
      </c>
      <c r="I47" s="207">
        <f>G47/C47*100</f>
        <v>796.5376782077393</v>
      </c>
      <c r="J47" s="207">
        <f>G47/D47*100</f>
        <v>105.7027027027027</v>
      </c>
      <c r="K47" s="207">
        <f>G47/E47*100</f>
        <v>235.60240963855424</v>
      </c>
      <c r="L47" s="208">
        <f t="shared" si="3"/>
        <v>342</v>
      </c>
      <c r="M47" s="208">
        <f t="shared" si="4"/>
        <v>21.100000000000023</v>
      </c>
      <c r="N47" s="208">
        <f t="shared" si="5"/>
        <v>225.10000000000002</v>
      </c>
    </row>
    <row r="48" spans="1:14" ht="22.5" customHeight="1">
      <c r="A48" s="211" t="s">
        <v>51</v>
      </c>
      <c r="B48" s="21"/>
      <c r="C48" s="208">
        <v>2072.4</v>
      </c>
      <c r="D48" s="208">
        <v>3810.1</v>
      </c>
      <c r="E48" s="208">
        <f>D48/12*7</f>
        <v>2222.5583333333334</v>
      </c>
      <c r="F48" s="208">
        <f>E48-'01.07'!E48</f>
        <v>317.50833333333344</v>
      </c>
      <c r="G48" s="208">
        <v>2315.7</v>
      </c>
      <c r="H48" s="208">
        <f>G48-'01.07'!G48</f>
        <v>168.5</v>
      </c>
      <c r="I48" s="207">
        <f>G48/C48*100</f>
        <v>111.74001158077589</v>
      </c>
      <c r="J48" s="207">
        <f>G48/D48*100</f>
        <v>60.77793233773392</v>
      </c>
      <c r="K48" s="207">
        <f>G48/E48*100</f>
        <v>104.190741150401</v>
      </c>
      <c r="L48" s="208">
        <f>G48-C48</f>
        <v>243.29999999999973</v>
      </c>
      <c r="M48" s="208">
        <f>G48-D48</f>
        <v>-1494.4</v>
      </c>
      <c r="N48" s="208">
        <f>G48-E48</f>
        <v>93.14166666666642</v>
      </c>
    </row>
    <row r="49" spans="1:14" ht="24.75" customHeight="1">
      <c r="A49" s="19" t="s">
        <v>48</v>
      </c>
      <c r="B49" s="217"/>
      <c r="C49" s="22">
        <f aca="true" t="shared" si="14" ref="C49:H49">C35+C39+C43+C47+C48</f>
        <v>3505</v>
      </c>
      <c r="D49" s="22">
        <f t="shared" si="14"/>
        <v>6228.1</v>
      </c>
      <c r="E49" s="22">
        <f t="shared" si="14"/>
        <v>3560.3583333333336</v>
      </c>
      <c r="F49" s="22">
        <f t="shared" si="14"/>
        <v>635.7083333333335</v>
      </c>
      <c r="G49" s="22">
        <f t="shared" si="14"/>
        <v>4608.94</v>
      </c>
      <c r="H49" s="22">
        <f t="shared" si="14"/>
        <v>544.54</v>
      </c>
      <c r="I49" s="25">
        <f>G49/C49*100</f>
        <v>131.49614835948645</v>
      </c>
      <c r="J49" s="25">
        <f>G49/D49*100</f>
        <v>74.0023442141263</v>
      </c>
      <c r="K49" s="25">
        <f>G49/E49*100</f>
        <v>129.4515767373602</v>
      </c>
      <c r="L49" s="22">
        <f>G49-C49</f>
        <v>1103.9399999999996</v>
      </c>
      <c r="M49" s="22">
        <f>G49-D49</f>
        <v>-1619.1600000000008</v>
      </c>
      <c r="N49" s="22">
        <f>G49-E49</f>
        <v>1048.581666666666</v>
      </c>
    </row>
    <row r="50" spans="1:14" ht="28.5" customHeight="1">
      <c r="A50" s="205">
        <v>40000000</v>
      </c>
      <c r="B50" s="20" t="s">
        <v>32</v>
      </c>
      <c r="C50" s="180">
        <f aca="true" t="shared" si="15" ref="C50:H50">SUM(C51:C53)</f>
        <v>2015.3</v>
      </c>
      <c r="D50" s="180">
        <f t="shared" si="15"/>
        <v>6271.2</v>
      </c>
      <c r="E50" s="180">
        <f t="shared" si="15"/>
        <v>3559.9</v>
      </c>
      <c r="F50" s="180">
        <f t="shared" si="15"/>
        <v>494.6</v>
      </c>
      <c r="G50" s="180">
        <f t="shared" si="15"/>
        <v>3516.9</v>
      </c>
      <c r="H50" s="180">
        <f t="shared" si="15"/>
        <v>451.6</v>
      </c>
      <c r="I50" s="201">
        <f t="shared" si="1"/>
        <v>174.5099985113879</v>
      </c>
      <c r="J50" s="201">
        <f t="shared" si="2"/>
        <v>56.08017604286262</v>
      </c>
      <c r="K50" s="201">
        <f t="shared" si="6"/>
        <v>98.79210090171073</v>
      </c>
      <c r="L50" s="180">
        <f t="shared" si="3"/>
        <v>1501.6000000000001</v>
      </c>
      <c r="M50" s="180">
        <f t="shared" si="4"/>
        <v>-2754.2999999999997</v>
      </c>
      <c r="N50" s="180">
        <f t="shared" si="5"/>
        <v>-43</v>
      </c>
    </row>
    <row r="51" spans="1:14" ht="67.5" customHeight="1">
      <c r="A51" s="206">
        <v>41034401</v>
      </c>
      <c r="B51" s="11" t="s">
        <v>161</v>
      </c>
      <c r="C51" s="210"/>
      <c r="D51" s="210">
        <v>1136.1</v>
      </c>
      <c r="E51" s="210">
        <v>612.4</v>
      </c>
      <c r="F51" s="179">
        <f>E51-'01.07'!E51</f>
        <v>95.19999999999993</v>
      </c>
      <c r="G51" s="210">
        <v>612.4</v>
      </c>
      <c r="H51" s="179">
        <f>G51-'01.07'!G51</f>
        <v>95.19999999999993</v>
      </c>
      <c r="I51" s="209" t="e">
        <f t="shared" si="1"/>
        <v>#DIV/0!</v>
      </c>
      <c r="J51" s="209">
        <f t="shared" si="2"/>
        <v>53.903705659713054</v>
      </c>
      <c r="K51" s="209">
        <f t="shared" si="6"/>
        <v>100</v>
      </c>
      <c r="L51" s="210">
        <f t="shared" si="3"/>
        <v>612.4</v>
      </c>
      <c r="M51" s="210">
        <f t="shared" si="4"/>
        <v>-523.6999999999999</v>
      </c>
      <c r="N51" s="210">
        <f t="shared" si="5"/>
        <v>0</v>
      </c>
    </row>
    <row r="52" spans="1:14" ht="21.75" customHeight="1">
      <c r="A52" s="206">
        <v>41035001</v>
      </c>
      <c r="B52" s="11" t="s">
        <v>163</v>
      </c>
      <c r="C52" s="210"/>
      <c r="D52" s="210">
        <v>505.3</v>
      </c>
      <c r="E52" s="210">
        <v>269.2</v>
      </c>
      <c r="F52" s="179">
        <f>E52-'01.07'!E52</f>
        <v>43</v>
      </c>
      <c r="G52" s="210">
        <v>226.2</v>
      </c>
      <c r="H52" s="179">
        <f>G52-'01.07'!G52</f>
        <v>0</v>
      </c>
      <c r="I52" s="209" t="e">
        <f>G52/C52*100</f>
        <v>#DIV/0!</v>
      </c>
      <c r="J52" s="209">
        <f>G52/D52*100</f>
        <v>44.7654858499901</v>
      </c>
      <c r="K52" s="209">
        <f>G52/E52*100</f>
        <v>84.02674591381873</v>
      </c>
      <c r="L52" s="210">
        <f>G52-C52</f>
        <v>226.2</v>
      </c>
      <c r="M52" s="210">
        <f>G52-D52</f>
        <v>-279.1</v>
      </c>
      <c r="N52" s="210">
        <f>G52-E52</f>
        <v>-43</v>
      </c>
    </row>
    <row r="53" spans="1:14" ht="87.75" customHeight="1">
      <c r="A53" s="206">
        <v>41035101</v>
      </c>
      <c r="B53" s="11" t="s">
        <v>49</v>
      </c>
      <c r="C53" s="210">
        <v>2015.3</v>
      </c>
      <c r="D53" s="210">
        <v>4629.8</v>
      </c>
      <c r="E53" s="210">
        <v>2678.3</v>
      </c>
      <c r="F53" s="179">
        <f>E53-'01.07'!E53</f>
        <v>356.4000000000001</v>
      </c>
      <c r="G53" s="210">
        <v>2678.3</v>
      </c>
      <c r="H53" s="179">
        <f>G53-'01.07'!G53</f>
        <v>356.4000000000001</v>
      </c>
      <c r="I53" s="209">
        <f>G53/C53*100</f>
        <v>132.89832779238824</v>
      </c>
      <c r="J53" s="209">
        <f>G53/D53*100</f>
        <v>57.849151151237635</v>
      </c>
      <c r="K53" s="209">
        <f>G53/E53*100</f>
        <v>100</v>
      </c>
      <c r="L53" s="210">
        <f>G53-C53</f>
        <v>663.0000000000002</v>
      </c>
      <c r="M53" s="210">
        <f>G53-D53</f>
        <v>-1951.5</v>
      </c>
      <c r="N53" s="210">
        <f>G53-E53</f>
        <v>0</v>
      </c>
    </row>
    <row r="54" spans="1:14" ht="39.75" customHeight="1">
      <c r="A54" s="298" t="s">
        <v>52</v>
      </c>
      <c r="B54" s="298"/>
      <c r="C54" s="212">
        <f aca="true" t="shared" si="16" ref="C54:H54">C49+C50</f>
        <v>5520.3</v>
      </c>
      <c r="D54" s="212">
        <f t="shared" si="16"/>
        <v>12499.3</v>
      </c>
      <c r="E54" s="212">
        <f t="shared" si="16"/>
        <v>7120.258333333333</v>
      </c>
      <c r="F54" s="212">
        <f t="shared" si="16"/>
        <v>1130.3083333333334</v>
      </c>
      <c r="G54" s="212">
        <f t="shared" si="16"/>
        <v>8125.84</v>
      </c>
      <c r="H54" s="212">
        <f t="shared" si="16"/>
        <v>996.14</v>
      </c>
      <c r="I54" s="213">
        <f t="shared" si="1"/>
        <v>147.19924641776714</v>
      </c>
      <c r="J54" s="213">
        <f t="shared" si="2"/>
        <v>65.0103605801925</v>
      </c>
      <c r="K54" s="213">
        <f t="shared" si="6"/>
        <v>114.1228255997266</v>
      </c>
      <c r="L54" s="212">
        <f t="shared" si="3"/>
        <v>2605.54</v>
      </c>
      <c r="M54" s="212">
        <f t="shared" si="4"/>
        <v>-4373.459999999999</v>
      </c>
      <c r="N54" s="212">
        <f t="shared" si="5"/>
        <v>1005.5816666666669</v>
      </c>
    </row>
    <row r="55" spans="1:14" ht="40.5" customHeight="1">
      <c r="A55" s="311" t="s">
        <v>53</v>
      </c>
      <c r="B55" s="311"/>
      <c r="C55" s="214">
        <f aca="true" t="shared" si="17" ref="C55:H55">C33+C54</f>
        <v>74059.5</v>
      </c>
      <c r="D55" s="214">
        <f t="shared" si="17"/>
        <v>165760.19999999998</v>
      </c>
      <c r="E55" s="214">
        <f t="shared" si="17"/>
        <v>94205.75833333333</v>
      </c>
      <c r="F55" s="214">
        <f t="shared" si="17"/>
        <v>14595.108333333337</v>
      </c>
      <c r="G55" s="214">
        <f t="shared" si="17"/>
        <v>94668.94</v>
      </c>
      <c r="H55" s="214">
        <f t="shared" si="17"/>
        <v>13714.440000000002</v>
      </c>
      <c r="I55" s="215">
        <f t="shared" si="1"/>
        <v>127.82821920212801</v>
      </c>
      <c r="J55" s="215">
        <f t="shared" si="2"/>
        <v>57.11198466218067</v>
      </c>
      <c r="K55" s="215">
        <f t="shared" si="6"/>
        <v>100.49167022787266</v>
      </c>
      <c r="L55" s="214">
        <f t="shared" si="3"/>
        <v>20609.440000000002</v>
      </c>
      <c r="M55" s="214">
        <f t="shared" si="4"/>
        <v>-71091.25999999998</v>
      </c>
      <c r="N55" s="214">
        <f t="shared" si="5"/>
        <v>463.18166666667094</v>
      </c>
    </row>
    <row r="56" spans="2:8" ht="12.75">
      <c r="B56" s="6"/>
      <c r="C56" s="24"/>
      <c r="D56" s="24"/>
      <c r="E56" s="24"/>
      <c r="F56" s="24"/>
      <c r="G56" s="24"/>
      <c r="H56" s="24"/>
    </row>
  </sheetData>
  <mergeCells count="31">
    <mergeCell ref="L1:N1"/>
    <mergeCell ref="A3:N3"/>
    <mergeCell ref="I6:I7"/>
    <mergeCell ref="J6:J7"/>
    <mergeCell ref="B5:B7"/>
    <mergeCell ref="A5:A7"/>
    <mergeCell ref="I5:K5"/>
    <mergeCell ref="K6:K7"/>
    <mergeCell ref="G5:H5"/>
    <mergeCell ref="C5:C7"/>
    <mergeCell ref="D5:F5"/>
    <mergeCell ref="E6:F6"/>
    <mergeCell ref="D6:D7"/>
    <mergeCell ref="G6:G7"/>
    <mergeCell ref="H6:H7"/>
    <mergeCell ref="L5:N5"/>
    <mergeCell ref="L6:L7"/>
    <mergeCell ref="M6:M7"/>
    <mergeCell ref="N6:N7"/>
    <mergeCell ref="A9:N9"/>
    <mergeCell ref="A13:B13"/>
    <mergeCell ref="A28:B28"/>
    <mergeCell ref="A29:B29"/>
    <mergeCell ref="A33:B33"/>
    <mergeCell ref="A34:N34"/>
    <mergeCell ref="A39:B39"/>
    <mergeCell ref="A35:B35"/>
    <mergeCell ref="A43:B43"/>
    <mergeCell ref="A47:B47"/>
    <mergeCell ref="A54:B54"/>
    <mergeCell ref="A55:B55"/>
  </mergeCells>
  <printOptions horizontalCentered="1"/>
  <pageMargins left="0.7874015748031497" right="0.3937007874015748" top="0.984251968503937" bottom="0.984251968503937" header="0.5118110236220472" footer="0.5118110236220472"/>
  <pageSetup horizontalDpi="600" verticalDpi="600" orientation="portrait" paperSize="9" scale="4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workbookViewId="0" topLeftCell="A52">
      <selection activeCell="E33" sqref="E33"/>
    </sheetView>
  </sheetViews>
  <sheetFormatPr defaultColWidth="9.00390625" defaultRowHeight="12.75"/>
  <cols>
    <col min="1" max="1" width="12.75390625" style="5" customWidth="1"/>
    <col min="2" max="2" width="33.125" style="5" customWidth="1"/>
    <col min="3" max="3" width="13.375" style="0" customWidth="1"/>
    <col min="4" max="4" width="14.125" style="0" customWidth="1"/>
    <col min="5" max="5" width="12.375" style="0" customWidth="1"/>
    <col min="6" max="6" width="12.625" style="0" customWidth="1"/>
    <col min="7" max="7" width="14.00390625" style="0" customWidth="1"/>
    <col min="8" max="8" width="12.375" style="0" customWidth="1"/>
    <col min="9" max="9" width="12.25390625" style="13" customWidth="1"/>
    <col min="10" max="10" width="13.125" style="13" customWidth="1"/>
    <col min="11" max="11" width="12.625" style="13" customWidth="1"/>
    <col min="12" max="12" width="13.75390625" style="0" customWidth="1"/>
    <col min="13" max="13" width="14.375" style="0" customWidth="1"/>
    <col min="14" max="14" width="12.75390625" style="0" customWidth="1"/>
  </cols>
  <sheetData>
    <row r="1" spans="12:14" ht="15">
      <c r="L1" s="321" t="s">
        <v>54</v>
      </c>
      <c r="M1" s="321"/>
      <c r="N1" s="321"/>
    </row>
    <row r="3" spans="1:14" ht="22.5">
      <c r="A3" s="313" t="s">
        <v>190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</row>
    <row r="5" spans="1:14" ht="15" customHeight="1">
      <c r="A5" s="318" t="s">
        <v>5</v>
      </c>
      <c r="B5" s="315" t="s">
        <v>7</v>
      </c>
      <c r="C5" s="289" t="s">
        <v>193</v>
      </c>
      <c r="D5" s="272" t="s">
        <v>3</v>
      </c>
      <c r="E5" s="266"/>
      <c r="F5" s="267"/>
      <c r="G5" s="283" t="s">
        <v>2</v>
      </c>
      <c r="H5" s="284"/>
      <c r="I5" s="314" t="s">
        <v>0</v>
      </c>
      <c r="J5" s="314"/>
      <c r="K5" s="314"/>
      <c r="L5" s="306" t="s">
        <v>1</v>
      </c>
      <c r="M5" s="306"/>
      <c r="N5" s="307"/>
    </row>
    <row r="6" spans="1:14" ht="15" customHeight="1">
      <c r="A6" s="319"/>
      <c r="B6" s="316"/>
      <c r="C6" s="308"/>
      <c r="D6" s="289" t="s">
        <v>156</v>
      </c>
      <c r="E6" s="309" t="s">
        <v>6</v>
      </c>
      <c r="F6" s="310"/>
      <c r="G6" s="283" t="s">
        <v>158</v>
      </c>
      <c r="H6" s="304" t="s">
        <v>194</v>
      </c>
      <c r="I6" s="314" t="s">
        <v>4</v>
      </c>
      <c r="J6" s="314" t="s">
        <v>148</v>
      </c>
      <c r="K6" s="314" t="s">
        <v>153</v>
      </c>
      <c r="L6" s="314" t="s">
        <v>4</v>
      </c>
      <c r="M6" s="314" t="s">
        <v>148</v>
      </c>
      <c r="N6" s="314" t="s">
        <v>153</v>
      </c>
    </row>
    <row r="7" spans="1:14" ht="57" customHeight="1">
      <c r="A7" s="320"/>
      <c r="B7" s="317"/>
      <c r="C7" s="264"/>
      <c r="D7" s="264"/>
      <c r="E7" s="4" t="s">
        <v>157</v>
      </c>
      <c r="F7" s="12" t="s">
        <v>194</v>
      </c>
      <c r="G7" s="285"/>
      <c r="H7" s="305"/>
      <c r="I7" s="314"/>
      <c r="J7" s="314"/>
      <c r="K7" s="314"/>
      <c r="L7" s="314"/>
      <c r="M7" s="314"/>
      <c r="N7" s="314"/>
    </row>
    <row r="8" spans="1:14" s="220" customFormat="1" ht="12.75">
      <c r="A8" s="216">
        <v>1</v>
      </c>
      <c r="B8" s="28">
        <v>2</v>
      </c>
      <c r="C8" s="218">
        <v>3</v>
      </c>
      <c r="D8" s="218">
        <v>4</v>
      </c>
      <c r="E8" s="219">
        <v>5</v>
      </c>
      <c r="F8" s="219">
        <v>6</v>
      </c>
      <c r="G8" s="218">
        <v>7</v>
      </c>
      <c r="H8" s="218">
        <v>8</v>
      </c>
      <c r="I8" s="218">
        <v>9</v>
      </c>
      <c r="J8" s="218">
        <v>10</v>
      </c>
      <c r="K8" s="218">
        <v>11</v>
      </c>
      <c r="L8" s="218">
        <v>12</v>
      </c>
      <c r="M8" s="218">
        <v>13</v>
      </c>
      <c r="N8" s="218">
        <v>14</v>
      </c>
    </row>
    <row r="9" spans="1:14" ht="24" customHeight="1">
      <c r="A9" s="303" t="s">
        <v>36</v>
      </c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</row>
    <row r="10" spans="1:14" ht="54" customHeight="1">
      <c r="A10" s="199">
        <v>11010000</v>
      </c>
      <c r="B10" s="11" t="s">
        <v>13</v>
      </c>
      <c r="C10" s="178">
        <v>52831.9</v>
      </c>
      <c r="D10" s="177">
        <v>102041.7</v>
      </c>
      <c r="E10" s="178">
        <v>67263</v>
      </c>
      <c r="F10" s="179">
        <f>E10-'01.08'!F10</f>
        <v>58222.1</v>
      </c>
      <c r="G10" s="178">
        <v>66246.7</v>
      </c>
      <c r="H10" s="179">
        <f>G10-'01.08'!G10</f>
        <v>7947.0999999999985</v>
      </c>
      <c r="I10" s="200">
        <f>G10/C10*100</f>
        <v>125.39147749749677</v>
      </c>
      <c r="J10" s="200">
        <f>G10/D10*100</f>
        <v>64.92120378237524</v>
      </c>
      <c r="K10" s="200">
        <f>G10/E10*100</f>
        <v>98.48906531079493</v>
      </c>
      <c r="L10" s="178">
        <f>G10-C10</f>
        <v>13414.799999999996</v>
      </c>
      <c r="M10" s="178">
        <f>G10-D10</f>
        <v>-35795</v>
      </c>
      <c r="N10" s="178">
        <f>G10-E10</f>
        <v>-1016.3000000000029</v>
      </c>
    </row>
    <row r="11" spans="1:14" ht="39">
      <c r="A11" s="199">
        <v>22010300</v>
      </c>
      <c r="B11" s="11" t="s">
        <v>10</v>
      </c>
      <c r="C11" s="178">
        <v>11.1</v>
      </c>
      <c r="D11" s="177">
        <v>16.5</v>
      </c>
      <c r="E11" s="178">
        <v>9.8</v>
      </c>
      <c r="F11" s="179">
        <f>E11-'01.08'!F11</f>
        <v>8.4</v>
      </c>
      <c r="G11" s="178">
        <v>8.9</v>
      </c>
      <c r="H11" s="179">
        <f>G11-'01.08'!G11</f>
        <v>0.40000000000000036</v>
      </c>
      <c r="I11" s="200">
        <f>G11/C11*100</f>
        <v>80.18018018018019</v>
      </c>
      <c r="J11" s="200">
        <f>G11/D11*100</f>
        <v>53.939393939393945</v>
      </c>
      <c r="K11" s="200">
        <f>G11/E11*100</f>
        <v>90.81632653061224</v>
      </c>
      <c r="L11" s="178">
        <f>G11-C11</f>
        <v>-2.1999999999999993</v>
      </c>
      <c r="M11" s="178">
        <f>G11-D11</f>
        <v>-7.6</v>
      </c>
      <c r="N11" s="178">
        <f>G11-E11</f>
        <v>-0.9000000000000004</v>
      </c>
    </row>
    <row r="12" spans="1:14" ht="18.75" customHeight="1">
      <c r="A12" s="199">
        <v>22090000</v>
      </c>
      <c r="B12" s="11" t="s">
        <v>11</v>
      </c>
      <c r="C12" s="178">
        <v>36.4</v>
      </c>
      <c r="D12" s="177">
        <v>60</v>
      </c>
      <c r="E12" s="178">
        <v>37.7</v>
      </c>
      <c r="F12" s="179">
        <f>E12-'01.08'!F12</f>
        <v>35.400000000000006</v>
      </c>
      <c r="G12" s="178">
        <v>48.9</v>
      </c>
      <c r="H12" s="179">
        <f>G12-'01.08'!G12</f>
        <v>4.699999999999996</v>
      </c>
      <c r="I12" s="200">
        <f>G12/C12*100</f>
        <v>134.34065934065936</v>
      </c>
      <c r="J12" s="200">
        <f>G12/D12*100</f>
        <v>81.5</v>
      </c>
      <c r="K12" s="200">
        <f>G12/E12*100</f>
        <v>129.70822281167108</v>
      </c>
      <c r="L12" s="178">
        <f>G12-C12</f>
        <v>12.5</v>
      </c>
      <c r="M12" s="178">
        <f>G12-D12</f>
        <v>-11.100000000000001</v>
      </c>
      <c r="N12" s="178">
        <f>G12-E12</f>
        <v>11.199999999999996</v>
      </c>
    </row>
    <row r="13" spans="1:14" ht="30" customHeight="1">
      <c r="A13" s="301" t="s">
        <v>12</v>
      </c>
      <c r="B13" s="301"/>
      <c r="C13" s="180">
        <f aca="true" t="shared" si="0" ref="C13:H13">SUM(C10:C12)</f>
        <v>52879.4</v>
      </c>
      <c r="D13" s="180">
        <f t="shared" si="0"/>
        <v>102118.2</v>
      </c>
      <c r="E13" s="180">
        <f t="shared" si="0"/>
        <v>67310.5</v>
      </c>
      <c r="F13" s="180">
        <f t="shared" si="0"/>
        <v>58265.9</v>
      </c>
      <c r="G13" s="180">
        <f t="shared" si="0"/>
        <v>66304.49999999999</v>
      </c>
      <c r="H13" s="180">
        <f t="shared" si="0"/>
        <v>7952.199999999998</v>
      </c>
      <c r="I13" s="201">
        <f>G13/C13*100</f>
        <v>125.38814736929689</v>
      </c>
      <c r="J13" s="201">
        <f>G13/D13*100</f>
        <v>64.92917031440037</v>
      </c>
      <c r="K13" s="201">
        <f>G13/E13*100</f>
        <v>98.505433773334</v>
      </c>
      <c r="L13" s="180">
        <f>G13-C13</f>
        <v>13425.099999999984</v>
      </c>
      <c r="M13" s="180">
        <f>G13-D13</f>
        <v>-35813.70000000001</v>
      </c>
      <c r="N13" s="180">
        <f>G13-E13</f>
        <v>-1006.0000000000146</v>
      </c>
    </row>
    <row r="14" spans="1:14" ht="39">
      <c r="A14" s="202">
        <v>11010600</v>
      </c>
      <c r="B14" s="11" t="s">
        <v>14</v>
      </c>
      <c r="C14" s="178">
        <v>43.9</v>
      </c>
      <c r="D14" s="178">
        <v>0</v>
      </c>
      <c r="E14" s="178">
        <v>0</v>
      </c>
      <c r="F14" s="179">
        <f>E14-'01.08'!F14</f>
        <v>0</v>
      </c>
      <c r="G14" s="178">
        <v>-0.4</v>
      </c>
      <c r="H14" s="179">
        <f>G14-'01.08'!G14</f>
        <v>0</v>
      </c>
      <c r="I14" s="200">
        <f aca="true" t="shared" si="1" ref="I14:I56">G14/C14*100</f>
        <v>-0.9111617312072894</v>
      </c>
      <c r="J14" s="200" t="e">
        <f aca="true" t="shared" si="2" ref="J14:J56">G14/D14*100</f>
        <v>#DIV/0!</v>
      </c>
      <c r="K14" s="200" t="e">
        <f>G14/E14*100</f>
        <v>#DIV/0!</v>
      </c>
      <c r="L14" s="178">
        <f aca="true" t="shared" si="3" ref="L14:L56">G14-C14</f>
        <v>-44.3</v>
      </c>
      <c r="M14" s="178">
        <f aca="true" t="shared" si="4" ref="M14:M56">G14-D14</f>
        <v>-0.4</v>
      </c>
      <c r="N14" s="178">
        <f aca="true" t="shared" si="5" ref="N14:N56">G14-E14</f>
        <v>-0.4</v>
      </c>
    </row>
    <row r="15" spans="1:14" ht="38.25">
      <c r="A15" s="203" t="s">
        <v>15</v>
      </c>
      <c r="B15" s="14" t="s">
        <v>16</v>
      </c>
      <c r="C15" s="178">
        <v>71.4</v>
      </c>
      <c r="D15" s="178">
        <v>100</v>
      </c>
      <c r="E15" s="178">
        <v>72.7</v>
      </c>
      <c r="F15" s="179">
        <f>E15-'01.08'!F15</f>
        <v>72.7</v>
      </c>
      <c r="G15" s="178">
        <v>205.2</v>
      </c>
      <c r="H15" s="179">
        <f>G15-'01.08'!G15</f>
        <v>30.899999999999977</v>
      </c>
      <c r="I15" s="200">
        <f aca="true" t="shared" si="6" ref="I15:I23">G15/C15*100</f>
        <v>287.39495798319325</v>
      </c>
      <c r="J15" s="200">
        <f aca="true" t="shared" si="7" ref="J15:J23">G15/D15*100</f>
        <v>205.20000000000002</v>
      </c>
      <c r="K15" s="200">
        <f aca="true" t="shared" si="8" ref="K15:K23">G15/E15*100</f>
        <v>282.25584594222835</v>
      </c>
      <c r="L15" s="178">
        <f t="shared" si="3"/>
        <v>133.79999999999998</v>
      </c>
      <c r="M15" s="178">
        <f t="shared" si="4"/>
        <v>105.19999999999999</v>
      </c>
      <c r="N15" s="178">
        <f t="shared" si="5"/>
        <v>132.5</v>
      </c>
    </row>
    <row r="16" spans="1:14" ht="15" customHeight="1">
      <c r="A16" s="204">
        <v>13050000</v>
      </c>
      <c r="B16" s="11" t="s">
        <v>17</v>
      </c>
      <c r="C16" s="178">
        <v>9244.9</v>
      </c>
      <c r="D16" s="178">
        <v>14200</v>
      </c>
      <c r="E16" s="178">
        <v>9047.6</v>
      </c>
      <c r="F16" s="179">
        <f>E16-'01.08'!F16</f>
        <v>7854.500000000001</v>
      </c>
      <c r="G16" s="178">
        <v>9686.5</v>
      </c>
      <c r="H16" s="179">
        <f>G16-'01.08'!G16</f>
        <v>1320</v>
      </c>
      <c r="I16" s="200">
        <f t="shared" si="6"/>
        <v>104.77668768726542</v>
      </c>
      <c r="J16" s="200">
        <f t="shared" si="7"/>
        <v>68.21478873239437</v>
      </c>
      <c r="K16" s="200">
        <f t="shared" si="8"/>
        <v>107.06154118219196</v>
      </c>
      <c r="L16" s="178">
        <f t="shared" si="3"/>
        <v>441.60000000000036</v>
      </c>
      <c r="M16" s="178">
        <f t="shared" si="4"/>
        <v>-4513.5</v>
      </c>
      <c r="N16" s="178">
        <f t="shared" si="5"/>
        <v>638.8999999999996</v>
      </c>
    </row>
    <row r="17" spans="1:14" ht="26.25">
      <c r="A17" s="204">
        <v>18000000</v>
      </c>
      <c r="B17" s="11" t="s">
        <v>164</v>
      </c>
      <c r="C17" s="181">
        <f>SUM(C18:C20)</f>
        <v>153.5</v>
      </c>
      <c r="D17" s="181">
        <f>SUM(D18:D20)</f>
        <v>242</v>
      </c>
      <c r="E17" s="181">
        <f>SUM(E18:E20)</f>
        <v>159.8</v>
      </c>
      <c r="F17" s="179">
        <f>E17-'01.08'!F17</f>
        <v>138.8</v>
      </c>
      <c r="G17" s="181">
        <f>SUM(G18:G20)</f>
        <v>178.1</v>
      </c>
      <c r="H17" s="179">
        <f>G17-'01.08'!G17</f>
        <v>20.69999999999999</v>
      </c>
      <c r="I17" s="200">
        <f t="shared" si="6"/>
        <v>116.02605863192181</v>
      </c>
      <c r="J17" s="200">
        <f t="shared" si="7"/>
        <v>73.59504132231405</v>
      </c>
      <c r="K17" s="200">
        <f t="shared" si="8"/>
        <v>111.45181476846055</v>
      </c>
      <c r="L17" s="178">
        <f t="shared" si="3"/>
        <v>24.599999999999994</v>
      </c>
      <c r="M17" s="178">
        <f t="shared" si="4"/>
        <v>-63.900000000000006</v>
      </c>
      <c r="N17" s="178">
        <f t="shared" si="5"/>
        <v>18.299999999999983</v>
      </c>
    </row>
    <row r="18" spans="1:14" ht="15.75">
      <c r="A18" s="204">
        <v>18020000</v>
      </c>
      <c r="B18" s="10" t="s">
        <v>19</v>
      </c>
      <c r="C18" s="178">
        <v>0.1</v>
      </c>
      <c r="D18" s="178"/>
      <c r="E18" s="178"/>
      <c r="F18" s="179">
        <f>E18-'01.08'!F18</f>
        <v>0</v>
      </c>
      <c r="G18" s="178">
        <v>0</v>
      </c>
      <c r="H18" s="179">
        <f>G18-'01.08'!G18</f>
        <v>0</v>
      </c>
      <c r="I18" s="200">
        <f t="shared" si="6"/>
        <v>0</v>
      </c>
      <c r="J18" s="200" t="e">
        <f t="shared" si="7"/>
        <v>#DIV/0!</v>
      </c>
      <c r="K18" s="200" t="e">
        <f t="shared" si="8"/>
        <v>#DIV/0!</v>
      </c>
      <c r="L18" s="178">
        <f t="shared" si="3"/>
        <v>-0.1</v>
      </c>
      <c r="M18" s="178">
        <f t="shared" si="4"/>
        <v>0</v>
      </c>
      <c r="N18" s="178">
        <f t="shared" si="5"/>
        <v>0</v>
      </c>
    </row>
    <row r="19" spans="1:14" ht="15.75">
      <c r="A19" s="204">
        <v>18030000</v>
      </c>
      <c r="B19" s="10" t="s">
        <v>20</v>
      </c>
      <c r="C19" s="178">
        <v>1.4</v>
      </c>
      <c r="D19" s="178">
        <v>2</v>
      </c>
      <c r="E19" s="178">
        <v>1.3</v>
      </c>
      <c r="F19" s="179">
        <f>E19-'01.08'!F19</f>
        <v>1.1</v>
      </c>
      <c r="G19" s="178">
        <v>6.1</v>
      </c>
      <c r="H19" s="179">
        <f>G19-'01.08'!G19</f>
        <v>0.7999999999999998</v>
      </c>
      <c r="I19" s="200">
        <f t="shared" si="6"/>
        <v>435.71428571428567</v>
      </c>
      <c r="J19" s="200">
        <f t="shared" si="7"/>
        <v>305</v>
      </c>
      <c r="K19" s="200">
        <f t="shared" si="8"/>
        <v>469.23076923076917</v>
      </c>
      <c r="L19" s="178">
        <f t="shared" si="3"/>
        <v>4.699999999999999</v>
      </c>
      <c r="M19" s="178">
        <f t="shared" si="4"/>
        <v>4.1</v>
      </c>
      <c r="N19" s="178">
        <f t="shared" si="5"/>
        <v>4.8</v>
      </c>
    </row>
    <row r="20" spans="1:14" ht="26.25">
      <c r="A20" s="204">
        <v>18040000</v>
      </c>
      <c r="B20" s="11" t="s">
        <v>21</v>
      </c>
      <c r="C20" s="178">
        <v>152</v>
      </c>
      <c r="D20" s="178">
        <v>240</v>
      </c>
      <c r="E20" s="178">
        <v>158.5</v>
      </c>
      <c r="F20" s="179">
        <f>E20-'01.08'!F20</f>
        <v>137.7</v>
      </c>
      <c r="G20" s="178">
        <v>172</v>
      </c>
      <c r="H20" s="179">
        <f>G20-'01.08'!G20</f>
        <v>19.900000000000006</v>
      </c>
      <c r="I20" s="200">
        <f t="shared" si="6"/>
        <v>113.1578947368421</v>
      </c>
      <c r="J20" s="200">
        <f t="shared" si="7"/>
        <v>71.66666666666667</v>
      </c>
      <c r="K20" s="200">
        <f t="shared" si="8"/>
        <v>108.5173501577287</v>
      </c>
      <c r="L20" s="178">
        <f t="shared" si="3"/>
        <v>20</v>
      </c>
      <c r="M20" s="178">
        <f t="shared" si="4"/>
        <v>-68</v>
      </c>
      <c r="N20" s="178">
        <f t="shared" si="5"/>
        <v>13.5</v>
      </c>
    </row>
    <row r="21" spans="1:14" ht="26.25">
      <c r="A21" s="204">
        <v>19040100</v>
      </c>
      <c r="B21" s="11" t="s">
        <v>41</v>
      </c>
      <c r="C21" s="178">
        <v>0.2</v>
      </c>
      <c r="D21" s="178">
        <v>0</v>
      </c>
      <c r="E21" s="178"/>
      <c r="F21" s="179">
        <f>E21-'01.08'!F21</f>
        <v>0</v>
      </c>
      <c r="G21" s="178">
        <v>0.3</v>
      </c>
      <c r="H21" s="179">
        <f>G21-'01.08'!G21</f>
        <v>0.09999999999999998</v>
      </c>
      <c r="I21" s="200">
        <f t="shared" si="6"/>
        <v>149.99999999999997</v>
      </c>
      <c r="J21" s="200" t="e">
        <f t="shared" si="7"/>
        <v>#DIV/0!</v>
      </c>
      <c r="K21" s="200" t="e">
        <f t="shared" si="8"/>
        <v>#DIV/0!</v>
      </c>
      <c r="L21" s="178">
        <f>G21-C21</f>
        <v>0.09999999999999998</v>
      </c>
      <c r="M21" s="178">
        <f>G21-D21</f>
        <v>0.3</v>
      </c>
      <c r="N21" s="178">
        <f>G21-E21</f>
        <v>0.3</v>
      </c>
    </row>
    <row r="22" spans="1:14" ht="51">
      <c r="A22" s="44" t="s">
        <v>26</v>
      </c>
      <c r="B22" s="8" t="s">
        <v>162</v>
      </c>
      <c r="C22" s="178">
        <v>1.1</v>
      </c>
      <c r="D22" s="178">
        <v>0</v>
      </c>
      <c r="E22" s="178"/>
      <c r="F22" s="179">
        <f>E22-'01.08'!F22</f>
        <v>0</v>
      </c>
      <c r="G22" s="178">
        <v>0.3</v>
      </c>
      <c r="H22" s="179">
        <f>G22-'01.08'!G22</f>
        <v>0.3</v>
      </c>
      <c r="I22" s="200">
        <f t="shared" si="6"/>
        <v>27.27272727272727</v>
      </c>
      <c r="J22" s="200" t="e">
        <f t="shared" si="7"/>
        <v>#DIV/0!</v>
      </c>
      <c r="K22" s="200" t="e">
        <f t="shared" si="8"/>
        <v>#DIV/0!</v>
      </c>
      <c r="L22" s="178">
        <f t="shared" si="3"/>
        <v>-0.8</v>
      </c>
      <c r="M22" s="178">
        <f t="shared" si="4"/>
        <v>0.3</v>
      </c>
      <c r="N22" s="178">
        <f t="shared" si="5"/>
        <v>0.3</v>
      </c>
    </row>
    <row r="23" spans="1:14" ht="15.75">
      <c r="A23" s="203" t="s">
        <v>24</v>
      </c>
      <c r="B23" s="9" t="s">
        <v>25</v>
      </c>
      <c r="C23" s="178">
        <v>21</v>
      </c>
      <c r="D23" s="178">
        <v>15</v>
      </c>
      <c r="E23" s="178">
        <v>9.7</v>
      </c>
      <c r="F23" s="179">
        <f>E23-'01.08'!F23</f>
        <v>8.299999999999999</v>
      </c>
      <c r="G23" s="178">
        <v>16.3</v>
      </c>
      <c r="H23" s="179">
        <f>G23-'01.08'!G23</f>
        <v>0.8000000000000007</v>
      </c>
      <c r="I23" s="200">
        <f t="shared" si="6"/>
        <v>77.61904761904762</v>
      </c>
      <c r="J23" s="200">
        <f t="shared" si="7"/>
        <v>108.66666666666667</v>
      </c>
      <c r="K23" s="200">
        <f t="shared" si="8"/>
        <v>168.04123711340208</v>
      </c>
      <c r="L23" s="178">
        <f t="shared" si="3"/>
        <v>-4.699999999999999</v>
      </c>
      <c r="M23" s="178">
        <f t="shared" si="4"/>
        <v>1.3000000000000007</v>
      </c>
      <c r="N23" s="178">
        <f t="shared" si="5"/>
        <v>6.600000000000001</v>
      </c>
    </row>
    <row r="24" spans="1:14" ht="53.25" customHeight="1">
      <c r="A24" s="203" t="s">
        <v>22</v>
      </c>
      <c r="B24" s="18" t="s">
        <v>23</v>
      </c>
      <c r="C24" s="178">
        <v>419</v>
      </c>
      <c r="D24" s="178">
        <v>645</v>
      </c>
      <c r="E24" s="178">
        <v>415.5</v>
      </c>
      <c r="F24" s="179">
        <f>E24-'01.08'!F24</f>
        <v>361.9</v>
      </c>
      <c r="G24" s="178">
        <v>433.1</v>
      </c>
      <c r="H24" s="179">
        <f>G24-'01.08'!G24</f>
        <v>48</v>
      </c>
      <c r="I24" s="200">
        <f t="shared" si="1"/>
        <v>103.36515513126491</v>
      </c>
      <c r="J24" s="200">
        <f t="shared" si="2"/>
        <v>67.14728682170544</v>
      </c>
      <c r="K24" s="200">
        <f aca="true" t="shared" si="9" ref="K24:K56">G24/E24*100</f>
        <v>104.2358604091456</v>
      </c>
      <c r="L24" s="178">
        <f t="shared" si="3"/>
        <v>14.100000000000023</v>
      </c>
      <c r="M24" s="178">
        <f t="shared" si="4"/>
        <v>-211.89999999999998</v>
      </c>
      <c r="N24" s="178">
        <f t="shared" si="5"/>
        <v>17.600000000000023</v>
      </c>
    </row>
    <row r="25" spans="1:14" ht="31.5">
      <c r="A25" s="204" t="s">
        <v>55</v>
      </c>
      <c r="B25" s="10" t="s">
        <v>28</v>
      </c>
      <c r="C25" s="178">
        <v>173.8</v>
      </c>
      <c r="D25" s="178">
        <v>0</v>
      </c>
      <c r="E25" s="178"/>
      <c r="F25" s="179">
        <f>E25-'01.08'!F25</f>
        <v>0</v>
      </c>
      <c r="G25" s="178">
        <v>25.5</v>
      </c>
      <c r="H25" s="179">
        <f>G25-'01.08'!G25</f>
        <v>7.399999999999999</v>
      </c>
      <c r="I25" s="200">
        <f t="shared" si="1"/>
        <v>14.672036823935558</v>
      </c>
      <c r="J25" s="200" t="e">
        <f t="shared" si="2"/>
        <v>#DIV/0!</v>
      </c>
      <c r="K25" s="200" t="e">
        <f t="shared" si="9"/>
        <v>#DIV/0!</v>
      </c>
      <c r="L25" s="178">
        <f t="shared" si="3"/>
        <v>-148.3</v>
      </c>
      <c r="M25" s="178">
        <f t="shared" si="4"/>
        <v>25.5</v>
      </c>
      <c r="N25" s="178">
        <f t="shared" si="5"/>
        <v>25.5</v>
      </c>
    </row>
    <row r="26" spans="1:14" ht="0.75" customHeight="1" hidden="1">
      <c r="A26" s="204">
        <v>24060600</v>
      </c>
      <c r="B26" s="11" t="s">
        <v>29</v>
      </c>
      <c r="C26" s="178"/>
      <c r="D26" s="178"/>
      <c r="E26" s="178"/>
      <c r="F26" s="179">
        <f>E26-'01.08'!F26</f>
        <v>0</v>
      </c>
      <c r="G26" s="178"/>
      <c r="H26" s="179">
        <f>G26-'01.08'!G26</f>
        <v>0</v>
      </c>
      <c r="I26" s="200" t="e">
        <f t="shared" si="1"/>
        <v>#DIV/0!</v>
      </c>
      <c r="J26" s="200" t="e">
        <f t="shared" si="2"/>
        <v>#DIV/0!</v>
      </c>
      <c r="K26" s="200" t="e">
        <f t="shared" si="9"/>
        <v>#DIV/0!</v>
      </c>
      <c r="L26" s="178">
        <f t="shared" si="3"/>
        <v>0</v>
      </c>
      <c r="M26" s="178">
        <f t="shared" si="4"/>
        <v>0</v>
      </c>
      <c r="N26" s="178">
        <f t="shared" si="5"/>
        <v>0</v>
      </c>
    </row>
    <row r="27" spans="1:14" ht="64.5">
      <c r="A27" s="204">
        <v>31010200</v>
      </c>
      <c r="B27" s="11" t="s">
        <v>30</v>
      </c>
      <c r="C27" s="178">
        <v>5</v>
      </c>
      <c r="D27" s="178">
        <v>0</v>
      </c>
      <c r="E27" s="178"/>
      <c r="F27" s="179">
        <f>E27-'01.08'!F27</f>
        <v>0</v>
      </c>
      <c r="G27" s="178">
        <v>1.3</v>
      </c>
      <c r="H27" s="179">
        <f>G27-'01.08'!G27</f>
        <v>0.30000000000000004</v>
      </c>
      <c r="I27" s="200">
        <f t="shared" si="1"/>
        <v>26</v>
      </c>
      <c r="J27" s="200" t="e">
        <f t="shared" si="2"/>
        <v>#DIV/0!</v>
      </c>
      <c r="K27" s="200" t="e">
        <f t="shared" si="9"/>
        <v>#DIV/0!</v>
      </c>
      <c r="L27" s="178">
        <f t="shared" si="3"/>
        <v>-3.7</v>
      </c>
      <c r="M27" s="178">
        <f t="shared" si="4"/>
        <v>1.3</v>
      </c>
      <c r="N27" s="178">
        <f t="shared" si="5"/>
        <v>1.3</v>
      </c>
    </row>
    <row r="28" spans="1:14" s="102" customFormat="1" ht="30" customHeight="1">
      <c r="A28" s="301" t="s">
        <v>31</v>
      </c>
      <c r="B28" s="301"/>
      <c r="C28" s="180">
        <f aca="true" t="shared" si="10" ref="C28:H28">SUM(C14:C27)-C17</f>
        <v>10133.8</v>
      </c>
      <c r="D28" s="180">
        <f t="shared" si="10"/>
        <v>15202</v>
      </c>
      <c r="E28" s="180">
        <f t="shared" si="10"/>
        <v>9705.300000000001</v>
      </c>
      <c r="F28" s="180">
        <f t="shared" si="10"/>
        <v>8436.2</v>
      </c>
      <c r="G28" s="180">
        <f t="shared" si="10"/>
        <v>10546.199999999997</v>
      </c>
      <c r="H28" s="180">
        <f t="shared" si="10"/>
        <v>1428.5</v>
      </c>
      <c r="I28" s="201">
        <f t="shared" si="1"/>
        <v>104.0695494286447</v>
      </c>
      <c r="J28" s="201">
        <f t="shared" si="2"/>
        <v>69.37376660965661</v>
      </c>
      <c r="K28" s="201">
        <f t="shared" si="9"/>
        <v>108.66433804210067</v>
      </c>
      <c r="L28" s="180">
        <f t="shared" si="3"/>
        <v>412.3999999999978</v>
      </c>
      <c r="M28" s="180">
        <f t="shared" si="4"/>
        <v>-4655.800000000003</v>
      </c>
      <c r="N28" s="180">
        <f t="shared" si="5"/>
        <v>840.899999999996</v>
      </c>
    </row>
    <row r="29" spans="1:14" ht="25.5" customHeight="1">
      <c r="A29" s="299" t="s">
        <v>35</v>
      </c>
      <c r="B29" s="299"/>
      <c r="C29" s="22">
        <f aca="true" t="shared" si="11" ref="C29:H29">C13+C28</f>
        <v>63013.2</v>
      </c>
      <c r="D29" s="22">
        <f t="shared" si="11"/>
        <v>117320.2</v>
      </c>
      <c r="E29" s="22">
        <f t="shared" si="11"/>
        <v>77015.8</v>
      </c>
      <c r="F29" s="22">
        <f t="shared" si="11"/>
        <v>66702.1</v>
      </c>
      <c r="G29" s="22">
        <f t="shared" si="11"/>
        <v>76850.69999999998</v>
      </c>
      <c r="H29" s="22">
        <f t="shared" si="11"/>
        <v>9380.699999999997</v>
      </c>
      <c r="I29" s="25">
        <f t="shared" si="1"/>
        <v>121.95968463750451</v>
      </c>
      <c r="J29" s="25">
        <f t="shared" si="2"/>
        <v>65.50508778539414</v>
      </c>
      <c r="K29" s="25">
        <f t="shared" si="9"/>
        <v>99.78562840352237</v>
      </c>
      <c r="L29" s="22">
        <f t="shared" si="3"/>
        <v>13837.499999999985</v>
      </c>
      <c r="M29" s="22">
        <f t="shared" si="4"/>
        <v>-40469.500000000015</v>
      </c>
      <c r="N29" s="22">
        <f t="shared" si="5"/>
        <v>-165.10000000002037</v>
      </c>
    </row>
    <row r="30" spans="1:14" ht="26.25">
      <c r="A30" s="205">
        <v>40000000</v>
      </c>
      <c r="B30" s="20" t="s">
        <v>32</v>
      </c>
      <c r="C30" s="180">
        <f aca="true" t="shared" si="12" ref="C30:H30">SUM(C31:C32)</f>
        <v>15511</v>
      </c>
      <c r="D30" s="180">
        <f t="shared" si="12"/>
        <v>35940.7</v>
      </c>
      <c r="E30" s="180">
        <f t="shared" si="12"/>
        <v>22690.1</v>
      </c>
      <c r="F30" s="180">
        <f t="shared" si="12"/>
        <v>19538.999999999996</v>
      </c>
      <c r="G30" s="180">
        <f t="shared" si="12"/>
        <v>22530</v>
      </c>
      <c r="H30" s="180">
        <f t="shared" si="12"/>
        <v>3456.900000000002</v>
      </c>
      <c r="I30" s="201">
        <f t="shared" si="1"/>
        <v>145.25175681774226</v>
      </c>
      <c r="J30" s="201">
        <f t="shared" si="2"/>
        <v>62.686592080844285</v>
      </c>
      <c r="K30" s="201">
        <f t="shared" si="9"/>
        <v>99.29440593033966</v>
      </c>
      <c r="L30" s="180">
        <f t="shared" si="3"/>
        <v>7019</v>
      </c>
      <c r="M30" s="180">
        <f t="shared" si="4"/>
        <v>-13410.699999999997</v>
      </c>
      <c r="N30" s="180">
        <f t="shared" si="5"/>
        <v>-160.09999999999854</v>
      </c>
    </row>
    <row r="31" spans="1:14" ht="15.75">
      <c r="A31" s="206">
        <v>41020000</v>
      </c>
      <c r="B31" s="11" t="s">
        <v>33</v>
      </c>
      <c r="C31" s="178">
        <v>254.5</v>
      </c>
      <c r="D31" s="178">
        <v>7490</v>
      </c>
      <c r="E31" s="178">
        <v>2652.1</v>
      </c>
      <c r="F31" s="179">
        <f>E31-'01.08'!F31</f>
        <v>2061.2999999999997</v>
      </c>
      <c r="G31" s="178">
        <v>2652.1</v>
      </c>
      <c r="H31" s="179">
        <f>G31-'01.08'!G31</f>
        <v>590.7999999999997</v>
      </c>
      <c r="I31" s="200">
        <f t="shared" si="1"/>
        <v>1042.082514734774</v>
      </c>
      <c r="J31" s="200">
        <f t="shared" si="2"/>
        <v>35.408544726301734</v>
      </c>
      <c r="K31" s="200">
        <f t="shared" si="9"/>
        <v>100</v>
      </c>
      <c r="L31" s="178">
        <f t="shared" si="3"/>
        <v>2397.6</v>
      </c>
      <c r="M31" s="178">
        <f t="shared" si="4"/>
        <v>-4837.9</v>
      </c>
      <c r="N31" s="178">
        <f t="shared" si="5"/>
        <v>0</v>
      </c>
    </row>
    <row r="32" spans="1:14" ht="15.75">
      <c r="A32" s="206">
        <v>41030000</v>
      </c>
      <c r="B32" s="11" t="s">
        <v>34</v>
      </c>
      <c r="C32" s="178">
        <v>15256.5</v>
      </c>
      <c r="D32" s="178">
        <v>28450.7</v>
      </c>
      <c r="E32" s="178">
        <f>22690.1-2652.1</f>
        <v>20038</v>
      </c>
      <c r="F32" s="179">
        <f>E32-'01.08'!F32</f>
        <v>17477.699999999997</v>
      </c>
      <c r="G32" s="178">
        <f>22530-2652.1</f>
        <v>19877.9</v>
      </c>
      <c r="H32" s="179">
        <f>G32-'01.08'!G32</f>
        <v>2866.100000000002</v>
      </c>
      <c r="I32" s="200">
        <f t="shared" si="1"/>
        <v>130.29135122734573</v>
      </c>
      <c r="J32" s="200">
        <f t="shared" si="2"/>
        <v>69.867876713051</v>
      </c>
      <c r="K32" s="200">
        <f t="shared" si="9"/>
        <v>99.20101806567523</v>
      </c>
      <c r="L32" s="178">
        <f t="shared" si="3"/>
        <v>4621.4000000000015</v>
      </c>
      <c r="M32" s="178">
        <f t="shared" si="4"/>
        <v>-8572.8</v>
      </c>
      <c r="N32" s="178">
        <f t="shared" si="5"/>
        <v>-160.09999999999854</v>
      </c>
    </row>
    <row r="33" spans="1:14" ht="40.5" customHeight="1">
      <c r="A33" s="302" t="s">
        <v>50</v>
      </c>
      <c r="B33" s="302"/>
      <c r="C33" s="23">
        <f aca="true" t="shared" si="13" ref="C33:H33">C29+C30</f>
        <v>78524.2</v>
      </c>
      <c r="D33" s="23">
        <f>D29+D30</f>
        <v>153260.9</v>
      </c>
      <c r="E33" s="23">
        <f t="shared" si="13"/>
        <v>99705.9</v>
      </c>
      <c r="F33" s="23">
        <f t="shared" si="13"/>
        <v>86241.1</v>
      </c>
      <c r="G33" s="23">
        <f t="shared" si="13"/>
        <v>99380.69999999998</v>
      </c>
      <c r="H33" s="23">
        <f t="shared" si="13"/>
        <v>12837.599999999999</v>
      </c>
      <c r="I33" s="26">
        <f t="shared" si="1"/>
        <v>126.56060169985813</v>
      </c>
      <c r="J33" s="26">
        <f t="shared" si="2"/>
        <v>64.84413180400217</v>
      </c>
      <c r="K33" s="26">
        <f t="shared" si="9"/>
        <v>99.67384076569189</v>
      </c>
      <c r="L33" s="23">
        <f t="shared" si="3"/>
        <v>20856.499999999985</v>
      </c>
      <c r="M33" s="23">
        <f t="shared" si="4"/>
        <v>-53880.20000000001</v>
      </c>
      <c r="N33" s="23">
        <f t="shared" si="5"/>
        <v>-325.20000000001164</v>
      </c>
    </row>
    <row r="34" spans="1:14" ht="24" customHeight="1">
      <c r="A34" s="300" t="s">
        <v>37</v>
      </c>
      <c r="B34" s="300"/>
      <c r="C34" s="300"/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300"/>
    </row>
    <row r="35" spans="1:14" ht="27.75" customHeight="1">
      <c r="A35" s="301" t="s">
        <v>165</v>
      </c>
      <c r="B35" s="301"/>
      <c r="C35" s="180">
        <f aca="true" t="shared" si="14" ref="C35:H35">SUM(C36:C38)</f>
        <v>189.2</v>
      </c>
      <c r="D35" s="180">
        <f t="shared" si="14"/>
        <v>48</v>
      </c>
      <c r="E35" s="180">
        <f t="shared" si="14"/>
        <v>31.7</v>
      </c>
      <c r="F35" s="180">
        <f t="shared" si="14"/>
        <v>28.099999999999998</v>
      </c>
      <c r="G35" s="180">
        <f t="shared" si="14"/>
        <v>133.8</v>
      </c>
      <c r="H35" s="180">
        <f t="shared" si="14"/>
        <v>28.300000000000008</v>
      </c>
      <c r="I35" s="207">
        <f t="shared" si="1"/>
        <v>70.7188160676533</v>
      </c>
      <c r="J35" s="207">
        <f t="shared" si="2"/>
        <v>278.75</v>
      </c>
      <c r="K35" s="207">
        <f t="shared" si="9"/>
        <v>422.08201892744484</v>
      </c>
      <c r="L35" s="208">
        <f t="shared" si="3"/>
        <v>-55.39999999999998</v>
      </c>
      <c r="M35" s="208">
        <f t="shared" si="4"/>
        <v>85.80000000000001</v>
      </c>
      <c r="N35" s="208">
        <f t="shared" si="5"/>
        <v>102.10000000000001</v>
      </c>
    </row>
    <row r="36" spans="1:14" ht="26.25">
      <c r="A36" s="204">
        <v>12020000</v>
      </c>
      <c r="B36" s="11" t="s">
        <v>38</v>
      </c>
      <c r="C36" s="178">
        <f>150.4+0.2</f>
        <v>150.6</v>
      </c>
      <c r="D36" s="178">
        <v>0</v>
      </c>
      <c r="E36" s="178"/>
      <c r="F36" s="179">
        <f>E36-'01.08'!F36</f>
        <v>0</v>
      </c>
      <c r="G36" s="178">
        <v>68</v>
      </c>
      <c r="H36" s="179">
        <f>G36-'01.08'!G36</f>
        <v>8.200000000000003</v>
      </c>
      <c r="I36" s="200">
        <f t="shared" si="1"/>
        <v>45.1527224435591</v>
      </c>
      <c r="J36" s="200" t="e">
        <f t="shared" si="2"/>
        <v>#DIV/0!</v>
      </c>
      <c r="K36" s="200" t="e">
        <f t="shared" si="9"/>
        <v>#DIV/0!</v>
      </c>
      <c r="L36" s="178">
        <f t="shared" si="3"/>
        <v>-82.6</v>
      </c>
      <c r="M36" s="178">
        <f t="shared" si="4"/>
        <v>68</v>
      </c>
      <c r="N36" s="178">
        <f t="shared" si="5"/>
        <v>68</v>
      </c>
    </row>
    <row r="37" spans="1:14" ht="26.25">
      <c r="A37" s="204">
        <v>12030000</v>
      </c>
      <c r="B37" s="11" t="s">
        <v>39</v>
      </c>
      <c r="C37" s="178">
        <v>20.7</v>
      </c>
      <c r="D37" s="178">
        <v>24</v>
      </c>
      <c r="E37" s="178">
        <v>15.7</v>
      </c>
      <c r="F37" s="179">
        <f>E37-'01.08'!F37</f>
        <v>13.999999999999998</v>
      </c>
      <c r="G37" s="178">
        <v>37.2</v>
      </c>
      <c r="H37" s="179">
        <f>G37-'01.08'!G37</f>
        <v>17.500000000000004</v>
      </c>
      <c r="I37" s="200">
        <f>G37/C37*100</f>
        <v>179.71014492753625</v>
      </c>
      <c r="J37" s="200">
        <f>G37/D37*100</f>
        <v>155</v>
      </c>
      <c r="K37" s="200">
        <f>G37/E37*100</f>
        <v>236.9426751592357</v>
      </c>
      <c r="L37" s="178">
        <f t="shared" si="3"/>
        <v>16.500000000000004</v>
      </c>
      <c r="M37" s="178">
        <f t="shared" si="4"/>
        <v>13.200000000000003</v>
      </c>
      <c r="N37" s="178">
        <f t="shared" si="5"/>
        <v>21.500000000000004</v>
      </c>
    </row>
    <row r="38" spans="1:14" ht="79.5" customHeight="1">
      <c r="A38" s="204">
        <v>18041500</v>
      </c>
      <c r="B38" s="11" t="s">
        <v>40</v>
      </c>
      <c r="C38" s="178">
        <v>17.9</v>
      </c>
      <c r="D38" s="178">
        <v>24</v>
      </c>
      <c r="E38" s="178">
        <v>16</v>
      </c>
      <c r="F38" s="179">
        <f>E38-'01.08'!F38</f>
        <v>14.1</v>
      </c>
      <c r="G38" s="178">
        <v>28.6</v>
      </c>
      <c r="H38" s="179">
        <f>G38-'01.08'!G38</f>
        <v>2.6000000000000014</v>
      </c>
      <c r="I38" s="200">
        <f>G38/C38*100</f>
        <v>159.77653631284917</v>
      </c>
      <c r="J38" s="200">
        <f>G38/D38*100</f>
        <v>119.16666666666667</v>
      </c>
      <c r="K38" s="200">
        <f>G38/E38*100</f>
        <v>178.75</v>
      </c>
      <c r="L38" s="178">
        <f t="shared" si="3"/>
        <v>10.700000000000003</v>
      </c>
      <c r="M38" s="178">
        <f t="shared" si="4"/>
        <v>4.600000000000001</v>
      </c>
      <c r="N38" s="178">
        <f t="shared" si="5"/>
        <v>12.600000000000001</v>
      </c>
    </row>
    <row r="39" spans="1:14" ht="28.5" customHeight="1">
      <c r="A39" s="301" t="s">
        <v>166</v>
      </c>
      <c r="B39" s="301"/>
      <c r="C39" s="208">
        <f aca="true" t="shared" si="15" ref="C39:H39">SUM(C40:C42)</f>
        <v>127.39999999999999</v>
      </c>
      <c r="D39" s="208">
        <f t="shared" si="15"/>
        <v>200</v>
      </c>
      <c r="E39" s="208">
        <f t="shared" si="15"/>
        <v>150</v>
      </c>
      <c r="F39" s="208">
        <f t="shared" si="15"/>
        <v>150</v>
      </c>
      <c r="G39" s="208">
        <f t="shared" si="15"/>
        <v>147.79999999999998</v>
      </c>
      <c r="H39" s="208">
        <f t="shared" si="15"/>
        <v>56.75999999999999</v>
      </c>
      <c r="I39" s="207">
        <f t="shared" si="1"/>
        <v>116.01255886970172</v>
      </c>
      <c r="J39" s="207">
        <f t="shared" si="2"/>
        <v>73.89999999999999</v>
      </c>
      <c r="K39" s="207">
        <f t="shared" si="9"/>
        <v>98.53333333333332</v>
      </c>
      <c r="L39" s="208">
        <f t="shared" si="3"/>
        <v>20.39999999999999</v>
      </c>
      <c r="M39" s="208">
        <f t="shared" si="4"/>
        <v>-52.20000000000002</v>
      </c>
      <c r="N39" s="208">
        <f t="shared" si="5"/>
        <v>-2.200000000000017</v>
      </c>
    </row>
    <row r="40" spans="1:14" ht="15.75">
      <c r="A40" s="204">
        <v>19010000</v>
      </c>
      <c r="B40" s="11" t="s">
        <v>42</v>
      </c>
      <c r="C40" s="178">
        <v>109.5</v>
      </c>
      <c r="D40" s="178">
        <v>200</v>
      </c>
      <c r="E40" s="178">
        <v>150</v>
      </c>
      <c r="F40" s="179">
        <f>E40-'01.08'!F40</f>
        <v>150</v>
      </c>
      <c r="G40" s="178">
        <v>147.7</v>
      </c>
      <c r="H40" s="179">
        <f>G40-'01.08'!G40</f>
        <v>56.69999999999999</v>
      </c>
      <c r="I40" s="200">
        <f t="shared" si="1"/>
        <v>134.88584474885843</v>
      </c>
      <c r="J40" s="200">
        <f t="shared" si="2"/>
        <v>73.85</v>
      </c>
      <c r="K40" s="200">
        <f t="shared" si="9"/>
        <v>98.46666666666665</v>
      </c>
      <c r="L40" s="178">
        <f t="shared" si="3"/>
        <v>38.19999999999999</v>
      </c>
      <c r="M40" s="178">
        <f t="shared" si="4"/>
        <v>-52.30000000000001</v>
      </c>
      <c r="N40" s="178">
        <f t="shared" si="5"/>
        <v>-2.3000000000000114</v>
      </c>
    </row>
    <row r="41" spans="1:14" ht="26.25">
      <c r="A41" s="204">
        <v>19050000</v>
      </c>
      <c r="B41" s="11" t="s">
        <v>43</v>
      </c>
      <c r="C41" s="178">
        <v>16.6</v>
      </c>
      <c r="D41" s="178">
        <v>0</v>
      </c>
      <c r="E41" s="178"/>
      <c r="F41" s="179">
        <f>E41-'01.08'!F41</f>
        <v>0</v>
      </c>
      <c r="G41" s="178">
        <v>0.1</v>
      </c>
      <c r="H41" s="179">
        <f>G41-'01.08'!G41</f>
        <v>0.060000000000000005</v>
      </c>
      <c r="I41" s="200">
        <f t="shared" si="1"/>
        <v>0.6024096385542168</v>
      </c>
      <c r="J41" s="200" t="e">
        <f t="shared" si="2"/>
        <v>#DIV/0!</v>
      </c>
      <c r="K41" s="200" t="e">
        <f t="shared" si="9"/>
        <v>#DIV/0!</v>
      </c>
      <c r="L41" s="178">
        <f t="shared" si="3"/>
        <v>-16.5</v>
      </c>
      <c r="M41" s="178">
        <f t="shared" si="4"/>
        <v>0.1</v>
      </c>
      <c r="N41" s="178">
        <f t="shared" si="5"/>
        <v>0.1</v>
      </c>
    </row>
    <row r="42" spans="1:14" ht="64.5">
      <c r="A42" s="204">
        <v>24062100</v>
      </c>
      <c r="B42" s="11" t="s">
        <v>56</v>
      </c>
      <c r="C42" s="178">
        <v>1.3</v>
      </c>
      <c r="D42" s="178">
        <v>0</v>
      </c>
      <c r="E42" s="178"/>
      <c r="F42" s="179">
        <f>E42-'01.08'!F42</f>
        <v>0</v>
      </c>
      <c r="G42" s="178"/>
      <c r="H42" s="179">
        <f>G42-'01.08'!G42</f>
        <v>0</v>
      </c>
      <c r="I42" s="200">
        <f t="shared" si="1"/>
        <v>0</v>
      </c>
      <c r="J42" s="200" t="e">
        <f t="shared" si="2"/>
        <v>#DIV/0!</v>
      </c>
      <c r="K42" s="200" t="e">
        <f t="shared" si="9"/>
        <v>#DIV/0!</v>
      </c>
      <c r="L42" s="178">
        <f t="shared" si="3"/>
        <v>-1.3</v>
      </c>
      <c r="M42" s="178">
        <f t="shared" si="4"/>
        <v>0</v>
      </c>
      <c r="N42" s="178">
        <f t="shared" si="5"/>
        <v>0</v>
      </c>
    </row>
    <row r="43" spans="1:14" ht="30.75" customHeight="1">
      <c r="A43" s="301" t="s">
        <v>167</v>
      </c>
      <c r="B43" s="301"/>
      <c r="C43" s="208">
        <f aca="true" t="shared" si="16" ref="C43:H43">SUM(C44:C47)</f>
        <v>1321.7</v>
      </c>
      <c r="D43" s="208">
        <f t="shared" si="16"/>
        <v>1800</v>
      </c>
      <c r="E43" s="208">
        <f>SUM(E44:E47)</f>
        <v>1310.9</v>
      </c>
      <c r="F43" s="208">
        <f t="shared" si="16"/>
        <v>1162.3000000000002</v>
      </c>
      <c r="G43" s="208">
        <f t="shared" si="16"/>
        <v>2059.8999999999996</v>
      </c>
      <c r="H43" s="208">
        <f t="shared" si="16"/>
        <v>354.19999999999993</v>
      </c>
      <c r="I43" s="207">
        <f t="shared" si="1"/>
        <v>155.8523114171143</v>
      </c>
      <c r="J43" s="207">
        <f t="shared" si="2"/>
        <v>114.43888888888887</v>
      </c>
      <c r="K43" s="207">
        <f t="shared" si="9"/>
        <v>157.13631855976806</v>
      </c>
      <c r="L43" s="208">
        <f t="shared" si="3"/>
        <v>738.1999999999996</v>
      </c>
      <c r="M43" s="208">
        <f t="shared" si="4"/>
        <v>259.89999999999964</v>
      </c>
      <c r="N43" s="208">
        <f t="shared" si="5"/>
        <v>748.9999999999995</v>
      </c>
    </row>
    <row r="44" spans="1:14" ht="15.75">
      <c r="A44" s="204">
        <v>18050000</v>
      </c>
      <c r="B44" s="11" t="s">
        <v>44</v>
      </c>
      <c r="C44" s="178">
        <v>1283.2</v>
      </c>
      <c r="D44" s="178">
        <v>1800</v>
      </c>
      <c r="E44" s="178">
        <v>1310.9</v>
      </c>
      <c r="F44" s="179">
        <f>E44-'01.08'!F44</f>
        <v>1162.3000000000002</v>
      </c>
      <c r="G44" s="178">
        <v>2055.6</v>
      </c>
      <c r="H44" s="179">
        <f>G44-'01.08'!G44</f>
        <v>350.0999999999999</v>
      </c>
      <c r="I44" s="209">
        <f t="shared" si="1"/>
        <v>160.19326683291771</v>
      </c>
      <c r="J44" s="209">
        <f t="shared" si="2"/>
        <v>114.19999999999999</v>
      </c>
      <c r="K44" s="209">
        <f t="shared" si="9"/>
        <v>156.80829964146767</v>
      </c>
      <c r="L44" s="210">
        <f t="shared" si="3"/>
        <v>772.3999999999999</v>
      </c>
      <c r="M44" s="210">
        <f t="shared" si="4"/>
        <v>255.5999999999999</v>
      </c>
      <c r="N44" s="210">
        <f t="shared" si="5"/>
        <v>744.6999999999998</v>
      </c>
    </row>
    <row r="45" spans="1:14" ht="39">
      <c r="A45" s="204">
        <v>24170000</v>
      </c>
      <c r="B45" s="11" t="s">
        <v>196</v>
      </c>
      <c r="C45" s="178"/>
      <c r="D45" s="178"/>
      <c r="E45" s="178"/>
      <c r="F45" s="179">
        <f>E45-'01.08'!F45</f>
        <v>0</v>
      </c>
      <c r="G45" s="178">
        <v>4.2</v>
      </c>
      <c r="H45" s="179">
        <f>G45-'01.08'!G45</f>
        <v>4.1000000000000005</v>
      </c>
      <c r="I45" s="209" t="e">
        <f>G45/C45*100</f>
        <v>#DIV/0!</v>
      </c>
      <c r="J45" s="209" t="e">
        <f>G45/D45*100</f>
        <v>#DIV/0!</v>
      </c>
      <c r="K45" s="209" t="e">
        <f>G45/E45*100</f>
        <v>#DIV/0!</v>
      </c>
      <c r="L45" s="210">
        <f>G45-C45</f>
        <v>4.2</v>
      </c>
      <c r="M45" s="210">
        <f>G45-D45</f>
        <v>4.2</v>
      </c>
      <c r="N45" s="210">
        <f>G45-E45</f>
        <v>4.2</v>
      </c>
    </row>
    <row r="46" spans="1:14" ht="39">
      <c r="A46" s="206">
        <v>31030000</v>
      </c>
      <c r="B46" s="11" t="s">
        <v>45</v>
      </c>
      <c r="C46" s="178">
        <v>0</v>
      </c>
      <c r="D46" s="178">
        <v>0</v>
      </c>
      <c r="E46" s="178"/>
      <c r="F46" s="179">
        <f>E46-'01.08'!F45</f>
        <v>0</v>
      </c>
      <c r="G46" s="178">
        <v>0.1</v>
      </c>
      <c r="H46" s="179">
        <f>G46-'01.08'!G45</f>
        <v>0</v>
      </c>
      <c r="I46" s="209" t="e">
        <f t="shared" si="1"/>
        <v>#DIV/0!</v>
      </c>
      <c r="J46" s="209" t="e">
        <f t="shared" si="2"/>
        <v>#DIV/0!</v>
      </c>
      <c r="K46" s="209" t="e">
        <f t="shared" si="9"/>
        <v>#DIV/0!</v>
      </c>
      <c r="L46" s="210">
        <f t="shared" si="3"/>
        <v>0.1</v>
      </c>
      <c r="M46" s="210">
        <f t="shared" si="4"/>
        <v>0.1</v>
      </c>
      <c r="N46" s="210">
        <f t="shared" si="5"/>
        <v>0.1</v>
      </c>
    </row>
    <row r="47" spans="1:14" ht="15.75">
      <c r="A47" s="206">
        <v>33010000</v>
      </c>
      <c r="B47" s="11" t="s">
        <v>46</v>
      </c>
      <c r="C47" s="178">
        <v>38.5</v>
      </c>
      <c r="D47" s="178">
        <v>0</v>
      </c>
      <c r="E47" s="178"/>
      <c r="F47" s="179">
        <f>E47-'01.08'!F46</f>
        <v>0</v>
      </c>
      <c r="G47" s="178">
        <v>0</v>
      </c>
      <c r="H47" s="179">
        <f>G47-'01.08'!G46</f>
        <v>0</v>
      </c>
      <c r="I47" s="209">
        <f t="shared" si="1"/>
        <v>0</v>
      </c>
      <c r="J47" s="209" t="e">
        <f t="shared" si="2"/>
        <v>#DIV/0!</v>
      </c>
      <c r="K47" s="209" t="e">
        <f t="shared" si="9"/>
        <v>#DIV/0!</v>
      </c>
      <c r="L47" s="210">
        <f t="shared" si="3"/>
        <v>-38.5</v>
      </c>
      <c r="M47" s="210">
        <f t="shared" si="4"/>
        <v>0</v>
      </c>
      <c r="N47" s="210">
        <f t="shared" si="5"/>
        <v>0</v>
      </c>
    </row>
    <row r="48" spans="1:14" ht="17.25" customHeight="1">
      <c r="A48" s="297" t="s">
        <v>47</v>
      </c>
      <c r="B48" s="297"/>
      <c r="C48" s="208">
        <v>51.6</v>
      </c>
      <c r="D48" s="208">
        <v>381.5</v>
      </c>
      <c r="E48" s="208">
        <v>318</v>
      </c>
      <c r="F48" s="208">
        <f>E48-'01.08'!E47</f>
        <v>152</v>
      </c>
      <c r="G48" s="208">
        <v>391.9</v>
      </c>
      <c r="H48" s="208">
        <f>G48-'01.08'!G47</f>
        <v>0.7999999999999545</v>
      </c>
      <c r="I48" s="207">
        <f>G48/C48*100</f>
        <v>759.4961240310078</v>
      </c>
      <c r="J48" s="207">
        <f>G48/D48*100</f>
        <v>102.72608125819134</v>
      </c>
      <c r="K48" s="207">
        <f>G48/E48*100</f>
        <v>123.23899371069183</v>
      </c>
      <c r="L48" s="208">
        <f t="shared" si="3"/>
        <v>340.29999999999995</v>
      </c>
      <c r="M48" s="208">
        <f t="shared" si="4"/>
        <v>10.399999999999977</v>
      </c>
      <c r="N48" s="208">
        <f t="shared" si="5"/>
        <v>73.89999999999998</v>
      </c>
    </row>
    <row r="49" spans="1:14" ht="22.5" customHeight="1">
      <c r="A49" s="211" t="s">
        <v>51</v>
      </c>
      <c r="B49" s="21"/>
      <c r="C49" s="208">
        <v>2267.1</v>
      </c>
      <c r="D49" s="208">
        <v>3810.1</v>
      </c>
      <c r="E49" s="208">
        <f>D49/12*8</f>
        <v>2540.0666666666666</v>
      </c>
      <c r="F49" s="208">
        <f>E49-'01.08'!E48</f>
        <v>317.5083333333332</v>
      </c>
      <c r="G49" s="208">
        <v>2461</v>
      </c>
      <c r="H49" s="208">
        <f>G49-'01.08'!G48</f>
        <v>145.30000000000018</v>
      </c>
      <c r="I49" s="207">
        <f>G49/C49*100</f>
        <v>108.55277667504741</v>
      </c>
      <c r="J49" s="207">
        <f>G49/D49*100</f>
        <v>64.59148053856855</v>
      </c>
      <c r="K49" s="207">
        <f>G49/E49*100</f>
        <v>96.88722080785281</v>
      </c>
      <c r="L49" s="208">
        <f>G49-C49</f>
        <v>193.9000000000001</v>
      </c>
      <c r="M49" s="208">
        <f>G49-D49</f>
        <v>-1349.1</v>
      </c>
      <c r="N49" s="208">
        <f>G49-E49</f>
        <v>-79.0666666666666</v>
      </c>
    </row>
    <row r="50" spans="1:14" ht="24.75" customHeight="1">
      <c r="A50" s="19" t="s">
        <v>48</v>
      </c>
      <c r="B50" s="217"/>
      <c r="C50" s="22">
        <f aca="true" t="shared" si="17" ref="C50:H50">C35+C39+C43+C48+C49</f>
        <v>3957</v>
      </c>
      <c r="D50" s="22">
        <f t="shared" si="17"/>
        <v>6239.6</v>
      </c>
      <c r="E50" s="22">
        <f t="shared" si="17"/>
        <v>4350.666666666667</v>
      </c>
      <c r="F50" s="22">
        <f t="shared" si="17"/>
        <v>1809.9083333333333</v>
      </c>
      <c r="G50" s="22">
        <f t="shared" si="17"/>
        <v>5194.4</v>
      </c>
      <c r="H50" s="22">
        <f t="shared" si="17"/>
        <v>585.3600000000001</v>
      </c>
      <c r="I50" s="25">
        <f>G50/C50*100</f>
        <v>131.2711650240081</v>
      </c>
      <c r="J50" s="25">
        <f>G50/D50*100</f>
        <v>83.2489262132188</v>
      </c>
      <c r="K50" s="25">
        <f>G50/E50*100</f>
        <v>119.39319644498924</v>
      </c>
      <c r="L50" s="22">
        <f>G50-C50</f>
        <v>1237.3999999999996</v>
      </c>
      <c r="M50" s="22">
        <f>G50-D50</f>
        <v>-1045.2000000000007</v>
      </c>
      <c r="N50" s="22">
        <f>G50-E50</f>
        <v>843.7333333333327</v>
      </c>
    </row>
    <row r="51" spans="1:14" ht="28.5" customHeight="1">
      <c r="A51" s="205">
        <v>40000000</v>
      </c>
      <c r="B51" s="20" t="s">
        <v>32</v>
      </c>
      <c r="C51" s="180">
        <f aca="true" t="shared" si="18" ref="C51:H51">SUM(C52:C54)</f>
        <v>2671.2</v>
      </c>
      <c r="D51" s="180">
        <f t="shared" si="18"/>
        <v>6271.2</v>
      </c>
      <c r="E51" s="180">
        <f t="shared" si="18"/>
        <v>4052</v>
      </c>
      <c r="F51" s="180">
        <f t="shared" si="18"/>
        <v>492.0999999999996</v>
      </c>
      <c r="G51" s="180">
        <f t="shared" si="18"/>
        <v>4008.2999999999997</v>
      </c>
      <c r="H51" s="180">
        <f t="shared" si="18"/>
        <v>491.39999999999964</v>
      </c>
      <c r="I51" s="201">
        <f t="shared" si="1"/>
        <v>150.05615453728663</v>
      </c>
      <c r="J51" s="201">
        <f t="shared" si="2"/>
        <v>63.915996938385</v>
      </c>
      <c r="K51" s="201">
        <f t="shared" si="9"/>
        <v>98.92152023692003</v>
      </c>
      <c r="L51" s="180">
        <f t="shared" si="3"/>
        <v>1337.1</v>
      </c>
      <c r="M51" s="180">
        <f t="shared" si="4"/>
        <v>-2262.9</v>
      </c>
      <c r="N51" s="180">
        <f t="shared" si="5"/>
        <v>-43.70000000000027</v>
      </c>
    </row>
    <row r="52" spans="1:14" ht="67.5" customHeight="1">
      <c r="A52" s="206">
        <v>41034401</v>
      </c>
      <c r="B52" s="11" t="s">
        <v>161</v>
      </c>
      <c r="C52" s="210"/>
      <c r="D52" s="210">
        <v>1136.1</v>
      </c>
      <c r="E52" s="210">
        <v>714.9</v>
      </c>
      <c r="F52" s="179">
        <f>E52-'01.08'!E51</f>
        <v>102.5</v>
      </c>
      <c r="G52" s="210">
        <v>714.9</v>
      </c>
      <c r="H52" s="179">
        <f>G52-'01.08'!G51</f>
        <v>102.5</v>
      </c>
      <c r="I52" s="209" t="e">
        <f t="shared" si="1"/>
        <v>#DIV/0!</v>
      </c>
      <c r="J52" s="209">
        <f t="shared" si="2"/>
        <v>62.9257987853182</v>
      </c>
      <c r="K52" s="209">
        <f t="shared" si="9"/>
        <v>100</v>
      </c>
      <c r="L52" s="210">
        <f t="shared" si="3"/>
        <v>714.9</v>
      </c>
      <c r="M52" s="210">
        <f t="shared" si="4"/>
        <v>-421.19999999999993</v>
      </c>
      <c r="N52" s="210">
        <f t="shared" si="5"/>
        <v>0</v>
      </c>
    </row>
    <row r="53" spans="1:14" ht="21.75" customHeight="1">
      <c r="A53" s="206">
        <v>41035001</v>
      </c>
      <c r="B53" s="11" t="s">
        <v>163</v>
      </c>
      <c r="C53" s="210"/>
      <c r="D53" s="210">
        <v>505.3</v>
      </c>
      <c r="E53" s="210">
        <v>312.9</v>
      </c>
      <c r="F53" s="179">
        <f>E53-'01.08'!E52</f>
        <v>43.69999999999999</v>
      </c>
      <c r="G53" s="210">
        <v>269.2</v>
      </c>
      <c r="H53" s="179">
        <f>G53-'01.08'!G52</f>
        <v>43</v>
      </c>
      <c r="I53" s="209" t="e">
        <f>G53/C53*100</f>
        <v>#DIV/0!</v>
      </c>
      <c r="J53" s="209">
        <f>G53/D53*100</f>
        <v>53.27528201068672</v>
      </c>
      <c r="K53" s="209">
        <f>G53/E53*100</f>
        <v>86.03387663790349</v>
      </c>
      <c r="L53" s="210">
        <f>G53-C53</f>
        <v>269.2</v>
      </c>
      <c r="M53" s="210">
        <f>G53-D53</f>
        <v>-236.10000000000002</v>
      </c>
      <c r="N53" s="210">
        <f>G53-E53</f>
        <v>-43.69999999999999</v>
      </c>
    </row>
    <row r="54" spans="1:14" ht="87.75" customHeight="1">
      <c r="A54" s="206">
        <v>41035101</v>
      </c>
      <c r="B54" s="11" t="s">
        <v>49</v>
      </c>
      <c r="C54" s="210">
        <v>2671.2</v>
      </c>
      <c r="D54" s="210">
        <v>4629.8</v>
      </c>
      <c r="E54" s="210">
        <v>3024.2</v>
      </c>
      <c r="F54" s="179">
        <f>E54-'01.08'!E53</f>
        <v>345.89999999999964</v>
      </c>
      <c r="G54" s="210">
        <v>3024.2</v>
      </c>
      <c r="H54" s="179">
        <f>G54-'01.08'!G53</f>
        <v>345.89999999999964</v>
      </c>
      <c r="I54" s="209">
        <f>G54/C54*100</f>
        <v>113.21503444144953</v>
      </c>
      <c r="J54" s="209">
        <f>G54/D54*100</f>
        <v>65.32031621236338</v>
      </c>
      <c r="K54" s="209">
        <f>G54/E54*100</f>
        <v>100</v>
      </c>
      <c r="L54" s="210">
        <f>G54-C54</f>
        <v>353</v>
      </c>
      <c r="M54" s="210">
        <f>G54-D54</f>
        <v>-1605.6000000000004</v>
      </c>
      <c r="N54" s="210">
        <f>G54-E54</f>
        <v>0</v>
      </c>
    </row>
    <row r="55" spans="1:14" ht="39.75" customHeight="1">
      <c r="A55" s="298" t="s">
        <v>52</v>
      </c>
      <c r="B55" s="298"/>
      <c r="C55" s="212">
        <f aca="true" t="shared" si="19" ref="C55:H55">C50+C51</f>
        <v>6628.2</v>
      </c>
      <c r="D55" s="212">
        <f t="shared" si="19"/>
        <v>12510.8</v>
      </c>
      <c r="E55" s="212">
        <f t="shared" si="19"/>
        <v>8402.666666666668</v>
      </c>
      <c r="F55" s="212">
        <f t="shared" si="19"/>
        <v>2302.0083333333328</v>
      </c>
      <c r="G55" s="212">
        <f t="shared" si="19"/>
        <v>9202.699999999999</v>
      </c>
      <c r="H55" s="212">
        <f t="shared" si="19"/>
        <v>1076.7599999999998</v>
      </c>
      <c r="I55" s="213">
        <f t="shared" si="1"/>
        <v>138.84161612504147</v>
      </c>
      <c r="J55" s="213">
        <f t="shared" si="2"/>
        <v>73.55804584838698</v>
      </c>
      <c r="K55" s="213">
        <f t="shared" si="9"/>
        <v>109.52118375119007</v>
      </c>
      <c r="L55" s="212">
        <f t="shared" si="3"/>
        <v>2574.499999999999</v>
      </c>
      <c r="M55" s="212">
        <f t="shared" si="4"/>
        <v>-3308.1000000000004</v>
      </c>
      <c r="N55" s="212">
        <f t="shared" si="5"/>
        <v>800.033333333331</v>
      </c>
    </row>
    <row r="56" spans="1:14" ht="40.5" customHeight="1">
      <c r="A56" s="311" t="s">
        <v>53</v>
      </c>
      <c r="B56" s="311"/>
      <c r="C56" s="214">
        <f aca="true" t="shared" si="20" ref="C56:H56">C33+C55</f>
        <v>85152.4</v>
      </c>
      <c r="D56" s="214">
        <f t="shared" si="20"/>
        <v>165771.69999999998</v>
      </c>
      <c r="E56" s="214">
        <f t="shared" si="20"/>
        <v>108108.56666666667</v>
      </c>
      <c r="F56" s="214">
        <f t="shared" si="20"/>
        <v>88543.10833333334</v>
      </c>
      <c r="G56" s="214">
        <f t="shared" si="20"/>
        <v>108583.39999999998</v>
      </c>
      <c r="H56" s="214">
        <f t="shared" si="20"/>
        <v>13914.359999999999</v>
      </c>
      <c r="I56" s="215">
        <f t="shared" si="1"/>
        <v>127.51654680314353</v>
      </c>
      <c r="J56" s="215">
        <f t="shared" si="2"/>
        <v>65.50177141212885</v>
      </c>
      <c r="K56" s="215">
        <f t="shared" si="9"/>
        <v>100.43921897031285</v>
      </c>
      <c r="L56" s="214">
        <f t="shared" si="3"/>
        <v>23430.999999999985</v>
      </c>
      <c r="M56" s="214">
        <f t="shared" si="4"/>
        <v>-57188.3</v>
      </c>
      <c r="N56" s="214">
        <f t="shared" si="5"/>
        <v>474.83333333331393</v>
      </c>
    </row>
    <row r="57" spans="2:8" ht="12.75">
      <c r="B57" s="6"/>
      <c r="C57" s="24"/>
      <c r="D57" s="24"/>
      <c r="E57" s="24"/>
      <c r="F57" s="24"/>
      <c r="G57" s="24"/>
      <c r="H57" s="24"/>
    </row>
  </sheetData>
  <mergeCells count="31">
    <mergeCell ref="A55:B55"/>
    <mergeCell ref="A56:B56"/>
    <mergeCell ref="D6:D7"/>
    <mergeCell ref="A9:N9"/>
    <mergeCell ref="M6:M7"/>
    <mergeCell ref="J6:J7"/>
    <mergeCell ref="K6:K7"/>
    <mergeCell ref="L6:L7"/>
    <mergeCell ref="E6:F6"/>
    <mergeCell ref="G6:G7"/>
    <mergeCell ref="L1:N1"/>
    <mergeCell ref="A3:N3"/>
    <mergeCell ref="A5:A7"/>
    <mergeCell ref="B5:B7"/>
    <mergeCell ref="C5:C7"/>
    <mergeCell ref="D5:F5"/>
    <mergeCell ref="G5:H5"/>
    <mergeCell ref="I5:K5"/>
    <mergeCell ref="N6:N7"/>
    <mergeCell ref="L5:N5"/>
    <mergeCell ref="A13:B13"/>
    <mergeCell ref="A28:B28"/>
    <mergeCell ref="H6:H7"/>
    <mergeCell ref="I6:I7"/>
    <mergeCell ref="A43:B43"/>
    <mergeCell ref="A48:B48"/>
    <mergeCell ref="A35:B35"/>
    <mergeCell ref="A29:B29"/>
    <mergeCell ref="A33:B33"/>
    <mergeCell ref="A34:N34"/>
    <mergeCell ref="A39:B39"/>
  </mergeCells>
  <printOptions/>
  <pageMargins left="0.96" right="0.75" top="0.51" bottom="0.51" header="0.5" footer="0.5"/>
  <pageSetup fitToHeight="1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GAME 2008</dc:creator>
  <cp:keywords/>
  <dc:description/>
  <cp:lastModifiedBy>Admin</cp:lastModifiedBy>
  <cp:lastPrinted>2013-02-06T06:31:40Z</cp:lastPrinted>
  <dcterms:created xsi:type="dcterms:W3CDTF">2011-03-30T05:56:53Z</dcterms:created>
  <dcterms:modified xsi:type="dcterms:W3CDTF">2013-02-06T06:31:43Z</dcterms:modified>
  <cp:category/>
  <cp:version/>
  <cp:contentType/>
  <cp:contentStatus/>
</cp:coreProperties>
</file>